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440" yWindow="0" windowWidth="33440" windowHeight="16800" activeTab="0"/>
  </bookViews>
  <sheets>
    <sheet name="Calulator" sheetId="1" r:id="rId1"/>
  </sheets>
  <definedNames>
    <definedName name="_xlnm.Print_Area" localSheetId="0">'Calulator'!$A$1:$AS$82</definedName>
  </definedNames>
  <calcPr fullCalcOnLoad="1"/>
</workbook>
</file>

<file path=xl/sharedStrings.xml><?xml version="1.0" encoding="utf-8"?>
<sst xmlns="http://schemas.openxmlformats.org/spreadsheetml/2006/main" count="119" uniqueCount="114">
  <si>
    <t>1. SELECT YOUR CAMERAS</t>
  </si>
  <si>
    <t>P65+</t>
  </si>
  <si>
    <t>DM33</t>
  </si>
  <si>
    <t>P45+</t>
  </si>
  <si>
    <t>DM22</t>
  </si>
  <si>
    <t>P25+</t>
  </si>
  <si>
    <t>P40+</t>
  </si>
  <si>
    <t>DM28</t>
  </si>
  <si>
    <t>P30+</t>
  </si>
  <si>
    <t>P21+</t>
  </si>
  <si>
    <t>P20+</t>
  </si>
  <si>
    <t>Select Camera A Name</t>
  </si>
  <si>
    <t>Select Camera B Name</t>
  </si>
  <si>
    <t>Name: Camera A</t>
  </si>
  <si>
    <t>Name: Camera B</t>
  </si>
  <si>
    <t>Sum selected</t>
  </si>
  <si>
    <t>3. STITCHING (OPTIONAL)</t>
  </si>
  <si>
    <t xml:space="preserve"># of Frames </t>
  </si>
  <si>
    <t>Enter 1 for the # of frames if you are not stitching</t>
  </si>
  <si>
    <t xml:space="preserve">Frame Overlap </t>
  </si>
  <si>
    <t># of frames can be 1, 2, 3, 4, or 9</t>
  </si>
  <si>
    <t>Result</t>
  </si>
  <si>
    <t>Equivalent Lenses</t>
  </si>
  <si>
    <t>Resulting Resolution</t>
  </si>
  <si>
    <t>Resulting File Size</t>
  </si>
  <si>
    <t>Providing the same angle of view</t>
  </si>
  <si>
    <t>Including stitching and stitching overlap</t>
  </si>
  <si>
    <t>For 16 Bit TIFF without compression</t>
  </si>
  <si>
    <t>&lt;-&gt;</t>
  </si>
  <si>
    <t>Overlap (mm)</t>
  </si>
  <si>
    <t>Copy Stitch Overlap</t>
  </si>
  <si>
    <t>a: stitching rows</t>
  </si>
  <si>
    <t>a: stitching colums</t>
  </si>
  <si>
    <t>sensor height</t>
  </si>
  <si>
    <t>sensor width</t>
  </si>
  <si>
    <t>sensor pixel size</t>
  </si>
  <si>
    <t>a: select sensor height</t>
  </si>
  <si>
    <t>a: select sensor width</t>
  </si>
  <si>
    <t>a: select  pixel size</t>
  </si>
  <si>
    <t>b: select  pixel size</t>
  </si>
  <si>
    <t>a: sensor size height</t>
  </si>
  <si>
    <t>a: sensor size width</t>
  </si>
  <si>
    <t>A: sensor diagonal</t>
  </si>
  <si>
    <t>single shot equivalent</t>
  </si>
  <si>
    <t>a: pixel pitch</t>
  </si>
  <si>
    <t>b: pixel pitch</t>
  </si>
  <si>
    <t>b: select sensor height</t>
  </si>
  <si>
    <t>b: select sensor width</t>
  </si>
  <si>
    <t>Effective Sensor Size</t>
  </si>
  <si>
    <t>Camera A</t>
  </si>
  <si>
    <t>Camera B</t>
  </si>
  <si>
    <t>Height (mm)</t>
  </si>
  <si>
    <t>Width (mm)</t>
  </si>
  <si>
    <t>diagonal</t>
  </si>
  <si>
    <t>area</t>
  </si>
  <si>
    <t>Defacto Normal Lens</t>
  </si>
  <si>
    <t>Selected-lens : normal</t>
  </si>
  <si>
    <t>Equiv. lens for camera B</t>
  </si>
  <si>
    <t>effective resolution</t>
  </si>
  <si>
    <t>16 BIT TIFF</t>
  </si>
  <si>
    <t>8x10</t>
  </si>
  <si>
    <t>IQ180</t>
  </si>
  <si>
    <t>DM80</t>
  </si>
  <si>
    <t>DM56</t>
  </si>
  <si>
    <t>Aptus-II 12</t>
  </si>
  <si>
    <t>Aptus-II 6</t>
  </si>
  <si>
    <t>Aptus-II 5</t>
  </si>
  <si>
    <t>Aptus-II 7</t>
  </si>
  <si>
    <t>Aptus-II 10</t>
  </si>
  <si>
    <t>IQ160</t>
  </si>
  <si>
    <t>IQ140</t>
  </si>
  <si>
    <t>scanned</t>
  </si>
  <si>
    <t>First Camera</t>
  </si>
  <si>
    <t>Second Camera</t>
  </si>
  <si>
    <t>Setup</t>
  </si>
  <si>
    <t>X</t>
  </si>
  <si>
    <t>IQ250</t>
  </si>
  <si>
    <t>IQ260</t>
  </si>
  <si>
    <t>IQ280</t>
  </si>
  <si>
    <t>Credo 40</t>
  </si>
  <si>
    <t>Credo 60</t>
  </si>
  <si>
    <t>Credo 80</t>
  </si>
  <si>
    <t>H5D-200 MS</t>
  </si>
  <si>
    <t>H5D-50C</t>
  </si>
  <si>
    <t>H5D-60</t>
  </si>
  <si>
    <t>H5D-50</t>
  </si>
  <si>
    <t>H5D-50 MS</t>
  </si>
  <si>
    <t>H5D-40</t>
  </si>
  <si>
    <t>H4D-200 MS</t>
  </si>
  <si>
    <t>H4D-60</t>
  </si>
  <si>
    <t>H4D-50 MS</t>
  </si>
  <si>
    <t>H4D-50</t>
  </si>
  <si>
    <t>H4D-40</t>
  </si>
  <si>
    <t>H4D-31</t>
  </si>
  <si>
    <t>4x5</t>
  </si>
  <si>
    <t>Pick two cameras to compare</t>
  </si>
  <si>
    <t xml:space="preserve">  and a wider equivalent lens on the B camera.</t>
  </si>
  <si>
    <t>&lt;---</t>
  </si>
  <si>
    <t>---&gt;</t>
  </si>
  <si>
    <t># of Frames</t>
  </si>
  <si>
    <t>Click on the yellow boxes and select your camera from the drop down list</t>
  </si>
  <si>
    <t xml:space="preserve">  Minimal overlap means a higher composite file size from camera A,</t>
  </si>
  <si>
    <t>Leica S2</t>
  </si>
  <si>
    <t>Leica S (Type 006)</t>
  </si>
  <si>
    <t>Canon 7D</t>
  </si>
  <si>
    <t>Pentax 645Z</t>
  </si>
  <si>
    <t>Pentax 645D</t>
  </si>
  <si>
    <t>Credo 50</t>
  </si>
  <si>
    <t>IQ150</t>
  </si>
  <si>
    <t>IQ3 80MP</t>
  </si>
  <si>
    <t>IQ3 60MP</t>
  </si>
  <si>
    <t>IQ3 50MP</t>
  </si>
  <si>
    <t>Canon 5Ds/5Ds R</t>
  </si>
  <si>
    <t>Canon 5D/5D2/5D3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</si>
</sst>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.#&quot; mm&quot;"/>
    <numFmt numFmtId="173" formatCode="#,###&quot; mm&quot;"/>
    <numFmt numFmtId="174" formatCode="#,##0.0"/>
    <numFmt numFmtId="175" formatCode="0.0"/>
    <numFmt numFmtId="176" formatCode="m/d/yyyy"/>
  </numFmts>
  <fonts count="10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i/>
      <sz val="36"/>
      <color indexed="9"/>
      <name val="Helvetica Neue"/>
      <family val="0"/>
    </font>
    <font>
      <b/>
      <sz val="36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9"/>
      <color indexed="9"/>
      <name val="Helvetica Neue"/>
      <family val="0"/>
    </font>
    <font>
      <b/>
      <sz val="16"/>
      <color indexed="9"/>
      <name val="Helvetica Neue"/>
      <family val="0"/>
    </font>
    <font>
      <sz val="10"/>
      <color indexed="13"/>
      <name val="Helvetica Neue Light"/>
      <family val="0"/>
    </font>
    <font>
      <b/>
      <sz val="10"/>
      <color indexed="13"/>
      <name val="Helvetica Neue"/>
      <family val="0"/>
    </font>
    <font>
      <sz val="10"/>
      <color indexed="13"/>
      <name val="Helvetica Neue"/>
      <family val="0"/>
    </font>
    <font>
      <b/>
      <sz val="16"/>
      <color indexed="16"/>
      <name val="Helvetica Neue"/>
      <family val="0"/>
    </font>
    <font>
      <sz val="8"/>
      <color indexed="19"/>
      <name val="Helvetica Neue"/>
      <family val="0"/>
    </font>
    <font>
      <sz val="10"/>
      <color indexed="19"/>
      <name val="Helvetica Neue"/>
      <family val="0"/>
    </font>
    <font>
      <sz val="8"/>
      <color indexed="20"/>
      <name val="Helv"/>
      <family val="0"/>
    </font>
    <font>
      <sz val="10"/>
      <color indexed="20"/>
      <name val="Helvetica Neue"/>
      <family val="0"/>
    </font>
    <font>
      <b/>
      <sz val="8"/>
      <color indexed="11"/>
      <name val="Helvetica Neue"/>
      <family val="0"/>
    </font>
    <font>
      <sz val="8"/>
      <color indexed="11"/>
      <name val="Helvetica Neue"/>
      <family val="0"/>
    </font>
    <font>
      <b/>
      <sz val="14"/>
      <color indexed="9"/>
      <name val="Helvetica Neue"/>
      <family val="0"/>
    </font>
    <font>
      <b/>
      <sz val="13"/>
      <color indexed="9"/>
      <name val="Helvetica Neue"/>
      <family val="0"/>
    </font>
    <font>
      <b/>
      <sz val="13"/>
      <color indexed="8"/>
      <name val="Helv"/>
      <family val="0"/>
    </font>
    <font>
      <sz val="9"/>
      <color indexed="9"/>
      <name val="Helvetica Neue"/>
      <family val="0"/>
    </font>
    <font>
      <sz val="9"/>
      <color indexed="13"/>
      <name val="Helvetica Neue Light"/>
      <family val="0"/>
    </font>
    <font>
      <b/>
      <u val="single"/>
      <sz val="10"/>
      <color indexed="9"/>
      <name val="Helvetica Neue"/>
      <family val="0"/>
    </font>
    <font>
      <b/>
      <sz val="10"/>
      <color indexed="16"/>
      <name val="Helvetica Neue"/>
      <family val="0"/>
    </font>
    <font>
      <sz val="7"/>
      <color indexed="19"/>
      <name val="Helvetica Neue"/>
      <family val="0"/>
    </font>
    <font>
      <b/>
      <sz val="10"/>
      <color indexed="8"/>
      <name val="Helvetica Neue"/>
      <family val="0"/>
    </font>
    <font>
      <b/>
      <sz val="14"/>
      <color indexed="8"/>
      <name val="Helvetica Neue"/>
      <family val="0"/>
    </font>
    <font>
      <sz val="9"/>
      <color indexed="19"/>
      <name val="Helvetica Neue"/>
      <family val="0"/>
    </font>
    <font>
      <sz val="8"/>
      <color indexed="19"/>
      <name val="Myriad Pro"/>
      <family val="0"/>
    </font>
    <font>
      <sz val="7"/>
      <color indexed="9"/>
      <name val="Helvetica Neue"/>
      <family val="0"/>
    </font>
    <font>
      <b/>
      <sz val="16"/>
      <name val="Helvetica Neue"/>
      <family val="0"/>
    </font>
    <font>
      <sz val="8"/>
      <name val="Helvetica Neue"/>
      <family val="0"/>
    </font>
    <font>
      <b/>
      <sz val="7"/>
      <color indexed="19"/>
      <name val="Arial Narrow"/>
      <family val="0"/>
    </font>
    <font>
      <b/>
      <sz val="7"/>
      <color indexed="19"/>
      <name val="Helvetica Neue"/>
      <family val="0"/>
    </font>
    <font>
      <b/>
      <sz val="10"/>
      <color indexed="19"/>
      <name val="Helvetica Neue"/>
      <family val="0"/>
    </font>
    <font>
      <sz val="14"/>
      <color indexed="9"/>
      <name val="Helvetica Neue"/>
      <family val="0"/>
    </font>
    <font>
      <sz val="14"/>
      <color indexed="8"/>
      <name val="Helvetica Neue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14"/>
      <name val="Calibri"/>
      <family val="2"/>
    </font>
    <font>
      <u val="single"/>
      <sz val="11"/>
      <color indexed="28"/>
      <name val="Helvetica Neue"/>
      <family val="0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6"/>
      <name val="Calibri"/>
      <family val="2"/>
    </font>
    <font>
      <b/>
      <sz val="8"/>
      <color indexed="23"/>
      <name val="Arial Narrow"/>
      <family val="0"/>
    </font>
    <font>
      <sz val="8"/>
      <color indexed="23"/>
      <name val="Arial Narrow"/>
      <family val="0"/>
    </font>
    <font>
      <sz val="10"/>
      <color indexed="10"/>
      <name val="Helvetica Neue"/>
      <family val="0"/>
    </font>
    <font>
      <sz val="10"/>
      <color indexed="8"/>
      <name val="Helvetica Neue"/>
      <family val="0"/>
    </font>
    <font>
      <b/>
      <sz val="12"/>
      <color indexed="8"/>
      <name val="Helvetica Neue"/>
      <family val="0"/>
    </font>
    <font>
      <b/>
      <sz val="16"/>
      <color indexed="10"/>
      <name val="Helvetica Neue"/>
      <family val="0"/>
    </font>
    <font>
      <b/>
      <sz val="16"/>
      <color indexed="8"/>
      <name val="Helvetica Neue"/>
      <family val="0"/>
    </font>
    <font>
      <sz val="9"/>
      <color indexed="8"/>
      <name val="Helvetica Neue"/>
      <family val="0"/>
    </font>
    <font>
      <b/>
      <sz val="13"/>
      <color indexed="8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Helvetica Neue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0" tint="-0.4999699890613556"/>
      <name val="Arial Narrow"/>
      <family val="0"/>
    </font>
    <font>
      <sz val="8"/>
      <color theme="0" tint="-0.4999699890613556"/>
      <name val="Arial Narrow"/>
      <family val="0"/>
    </font>
    <font>
      <sz val="10"/>
      <color theme="0"/>
      <name val="Helvetica Neue"/>
      <family val="0"/>
    </font>
    <font>
      <sz val="10"/>
      <color rgb="FF000000"/>
      <name val="Helvetica Neue"/>
      <family val="0"/>
    </font>
    <font>
      <b/>
      <sz val="12"/>
      <color rgb="FF000000"/>
      <name val="Helvetica Neue"/>
      <family val="0"/>
    </font>
    <font>
      <sz val="10"/>
      <color rgb="FFA6A6A6"/>
      <name val="Helvetica Neue Light"/>
      <family val="0"/>
    </font>
    <font>
      <sz val="10"/>
      <color rgb="FFA6A6A6"/>
      <name val="Helvetica Neue"/>
      <family val="0"/>
    </font>
    <font>
      <b/>
      <sz val="16"/>
      <color theme="0"/>
      <name val="Helvetica Neue"/>
      <family val="0"/>
    </font>
    <font>
      <b/>
      <sz val="16"/>
      <color rgb="FF000000"/>
      <name val="Helvetica Neue"/>
      <family val="0"/>
    </font>
    <font>
      <sz val="10"/>
      <color rgb="FF9A9A9A"/>
      <name val="Helvetica Neue Light"/>
      <family val="0"/>
    </font>
    <font>
      <b/>
      <sz val="16"/>
      <color rgb="FFFF0000"/>
      <name val="Helvetica Neue"/>
      <family val="0"/>
    </font>
    <font>
      <b/>
      <sz val="10"/>
      <color rgb="FF000000"/>
      <name val="Helvetica Neue"/>
      <family val="0"/>
    </font>
    <font>
      <b/>
      <sz val="14"/>
      <color rgb="FF000000"/>
      <name val="Helvetica Neue"/>
      <family val="0"/>
    </font>
    <font>
      <b/>
      <sz val="10"/>
      <color rgb="FF9A9A9A"/>
      <name val="Helvetica Neue"/>
      <family val="0"/>
    </font>
    <font>
      <sz val="10"/>
      <color rgb="FF9A9A9A"/>
      <name val="Helvetica Neue"/>
      <family val="0"/>
    </font>
    <font>
      <sz val="10"/>
      <color rgb="FFB3B3B3"/>
      <name val="Helvetica Neue"/>
      <family val="0"/>
    </font>
    <font>
      <b/>
      <sz val="13"/>
      <color rgb="FF000000"/>
      <name val="Helvetica Neue"/>
      <family val="0"/>
    </font>
    <font>
      <b/>
      <sz val="13"/>
      <color rgb="FF000000"/>
      <name val="Helv"/>
      <family val="0"/>
    </font>
    <font>
      <sz val="9"/>
      <color rgb="FF000000"/>
      <name val="Helvetica Neu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87DA"/>
        <bgColor indexed="64"/>
      </patternFill>
    </fill>
    <fill>
      <patternFill patternType="solid">
        <fgColor rgb="FF2887D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DCDCD"/>
      </top>
      <bottom style="thin">
        <color rgb="FFCDCDC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83" fillId="33" borderId="0" xfId="0" applyNumberFormat="1" applyFont="1" applyFill="1" applyBorder="1" applyAlignment="1" applyProtection="1">
      <alignment horizontal="right" vertical="center"/>
      <protection/>
    </xf>
    <xf numFmtId="0" fontId="83" fillId="33" borderId="0" xfId="0" applyNumberFormat="1" applyFont="1" applyFill="1" applyBorder="1" applyAlignment="1" applyProtection="1">
      <alignment horizontal="center" vertical="center"/>
      <protection/>
    </xf>
    <xf numFmtId="0" fontId="83" fillId="33" borderId="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12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173" fontId="4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left" vertical="top"/>
      <protection/>
    </xf>
    <xf numFmtId="17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5" xfId="0" applyNumberFormat="1" applyFont="1" applyFill="1" applyBorder="1" applyAlignment="1" applyProtection="1">
      <alignment horizontal="left"/>
      <protection/>
    </xf>
    <xf numFmtId="173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9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0" fontId="22" fillId="33" borderId="12" xfId="0" applyNumberFormat="1" applyFont="1" applyFill="1" applyBorder="1" applyAlignment="1" applyProtection="1">
      <alignment horizontal="right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1" fontId="23" fillId="34" borderId="12" xfId="0" applyNumberFormat="1" applyFont="1" applyFill="1" applyBorder="1" applyAlignment="1" applyProtection="1">
      <alignment horizontal="center" vertical="center"/>
      <protection/>
    </xf>
    <xf numFmtId="0" fontId="12" fillId="33" borderId="12" xfId="0" applyNumberFormat="1" applyFont="1" applyFill="1" applyBorder="1" applyAlignment="1" applyProtection="1">
      <alignment horizontal="left" vertical="center"/>
      <protection/>
    </xf>
    <xf numFmtId="0" fontId="24" fillId="33" borderId="12" xfId="0" applyNumberFormat="1" applyFont="1" applyFill="1" applyBorder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/>
      <protection/>
    </xf>
    <xf numFmtId="0" fontId="25" fillId="33" borderId="13" xfId="0" applyNumberFormat="1" applyFont="1" applyFill="1" applyBorder="1" applyAlignment="1" applyProtection="1">
      <alignment horizontal="left" vertical="center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24" fillId="33" borderId="11" xfId="0" applyNumberFormat="1" applyFont="1" applyFill="1" applyBorder="1" applyAlignment="1" applyProtection="1">
      <alignment horizontal="right" vertical="center"/>
      <protection/>
    </xf>
    <xf numFmtId="0" fontId="26" fillId="33" borderId="11" xfId="0" applyNumberFormat="1" applyFont="1" applyFill="1" applyBorder="1" applyAlignment="1" applyProtection="1">
      <alignment horizontal="left" vertical="center"/>
      <protection/>
    </xf>
    <xf numFmtId="0" fontId="25" fillId="33" borderId="11" xfId="0" applyNumberFormat="1" applyFont="1" applyFill="1" applyBorder="1" applyAlignment="1" applyProtection="1">
      <alignment horizontal="center" vertical="center"/>
      <protection/>
    </xf>
    <xf numFmtId="0" fontId="24" fillId="33" borderId="16" xfId="0" applyNumberFormat="1" applyFont="1" applyFill="1" applyBorder="1" applyAlignment="1" applyProtection="1">
      <alignment horizontal="right" vertical="center"/>
      <protection/>
    </xf>
    <xf numFmtId="0" fontId="12" fillId="33" borderId="16" xfId="0" applyNumberFormat="1" applyFont="1" applyFill="1" applyBorder="1" applyAlignment="1" applyProtection="1">
      <alignment horizontal="center" vertical="center"/>
      <protection/>
    </xf>
    <xf numFmtId="0" fontId="26" fillId="33" borderId="16" xfId="0" applyNumberFormat="1" applyFont="1" applyFill="1" applyBorder="1" applyAlignment="1" applyProtection="1">
      <alignment horizontal="left" vertical="center"/>
      <protection/>
    </xf>
    <xf numFmtId="0" fontId="33" fillId="33" borderId="16" xfId="0" applyNumberFormat="1" applyFont="1" applyFill="1" applyBorder="1" applyAlignment="1" applyProtection="1">
      <alignment horizontal="right" vertical="center"/>
      <protection/>
    </xf>
    <xf numFmtId="0" fontId="34" fillId="33" borderId="16" xfId="0" applyNumberFormat="1" applyFont="1" applyFill="1" applyBorder="1" applyAlignment="1" applyProtection="1">
      <alignment horizontal="center" vertical="center"/>
      <protection/>
    </xf>
    <xf numFmtId="0" fontId="32" fillId="33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top"/>
      <protection/>
    </xf>
    <xf numFmtId="0" fontId="12" fillId="33" borderId="16" xfId="0" applyNumberFormat="1" applyFont="1" applyFill="1" applyBorder="1" applyAlignment="1" applyProtection="1">
      <alignment horizontal="right" vertical="center"/>
      <protection/>
    </xf>
    <xf numFmtId="0" fontId="27" fillId="33" borderId="16" xfId="0" applyNumberFormat="1" applyFont="1" applyFill="1" applyBorder="1" applyAlignment="1" applyProtection="1">
      <alignment horizontal="right" vertical="center"/>
      <protection/>
    </xf>
    <xf numFmtId="172" fontId="28" fillId="35" borderId="16" xfId="0" applyNumberFormat="1" applyFont="1" applyFill="1" applyBorder="1" applyAlignment="1" applyProtection="1">
      <alignment horizontal="center" vertical="center"/>
      <protection/>
    </xf>
    <xf numFmtId="0" fontId="24" fillId="33" borderId="16" xfId="0" applyNumberFormat="1" applyFont="1" applyFill="1" applyBorder="1" applyAlignment="1" applyProtection="1">
      <alignment horizontal="center" vertical="center"/>
      <protection/>
    </xf>
    <xf numFmtId="174" fontId="24" fillId="33" borderId="16" xfId="0" applyNumberFormat="1" applyFont="1" applyFill="1" applyBorder="1" applyAlignment="1" applyProtection="1">
      <alignment horizontal="center" vertical="center"/>
      <protection/>
    </xf>
    <xf numFmtId="3" fontId="24" fillId="33" borderId="16" xfId="0" applyNumberFormat="1" applyFont="1" applyFill="1" applyBorder="1" applyAlignment="1" applyProtection="1">
      <alignment horizontal="center" vertical="center"/>
      <protection/>
    </xf>
    <xf numFmtId="0" fontId="20" fillId="33" borderId="16" xfId="0" applyNumberFormat="1" applyFont="1" applyFill="1" applyBorder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vertical="top"/>
      <protection/>
    </xf>
    <xf numFmtId="0" fontId="29" fillId="33" borderId="16" xfId="0" applyNumberFormat="1" applyFont="1" applyFill="1" applyBorder="1" applyAlignment="1" applyProtection="1">
      <alignment horizontal="right" vertical="center"/>
      <protection/>
    </xf>
    <xf numFmtId="175" fontId="1" fillId="33" borderId="16" xfId="0" applyNumberFormat="1" applyFont="1" applyFill="1" applyBorder="1" applyAlignment="1" applyProtection="1">
      <alignment horizontal="center" vertical="center"/>
      <protection/>
    </xf>
    <xf numFmtId="174" fontId="1" fillId="33" borderId="16" xfId="0" applyNumberFormat="1" applyFont="1" applyFill="1" applyBorder="1" applyAlignment="1" applyProtection="1">
      <alignment horizontal="center" vertical="center"/>
      <protection/>
    </xf>
    <xf numFmtId="3" fontId="1" fillId="33" borderId="16" xfId="0" applyNumberFormat="1" applyFont="1" applyFill="1" applyBorder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 applyProtection="1">
      <alignment horizontal="center" vertical="center"/>
      <protection/>
    </xf>
    <xf numFmtId="0" fontId="20" fillId="33" borderId="17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3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Alignment="1" applyProtection="1">
      <alignment vertical="top"/>
      <protection/>
    </xf>
    <xf numFmtId="0" fontId="85" fillId="0" borderId="0" xfId="0" applyNumberFormat="1" applyFont="1" applyAlignment="1" applyProtection="1">
      <alignment vertical="top"/>
      <protection/>
    </xf>
    <xf numFmtId="173" fontId="20" fillId="36" borderId="0" xfId="0" applyNumberFormat="1" applyFont="1" applyFill="1" applyBorder="1" applyAlignment="1" applyProtection="1">
      <alignment horizontal="right" vertical="center"/>
      <protection/>
    </xf>
    <xf numFmtId="0" fontId="20" fillId="36" borderId="0" xfId="0" applyNumberFormat="1" applyFont="1" applyFill="1" applyBorder="1" applyAlignment="1" applyProtection="1">
      <alignment horizontal="left" vertical="center"/>
      <protection/>
    </xf>
    <xf numFmtId="0" fontId="20" fillId="36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Alignment="1" applyProtection="1">
      <alignment vertical="top"/>
      <protection/>
    </xf>
    <xf numFmtId="0" fontId="1" fillId="36" borderId="0" xfId="0" applyNumberFormat="1" applyFont="1" applyFill="1" applyBorder="1" applyAlignment="1" applyProtection="1">
      <alignment horizontal="right" vertical="center"/>
      <protection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0" xfId="0" applyNumberFormat="1" applyFont="1" applyFill="1" applyBorder="1" applyAlignment="1" applyProtection="1">
      <alignment horizontal="center" vertical="center"/>
      <protection locked="0"/>
    </xf>
    <xf numFmtId="0" fontId="85" fillId="36" borderId="0" xfId="0" applyNumberFormat="1" applyFont="1" applyFill="1" applyBorder="1" applyAlignment="1" applyProtection="1">
      <alignment vertical="center"/>
      <protection/>
    </xf>
    <xf numFmtId="0" fontId="86" fillId="37" borderId="0" xfId="0" applyFont="1" applyFill="1" applyAlignment="1">
      <alignment horizontal="center" vertical="center"/>
    </xf>
    <xf numFmtId="0" fontId="87" fillId="37" borderId="18" xfId="0" applyFont="1" applyFill="1" applyBorder="1" applyAlignment="1">
      <alignment horizontal="right" vertical="center"/>
    </xf>
    <xf numFmtId="0" fontId="88" fillId="37" borderId="0" xfId="0" applyFont="1" applyFill="1" applyAlignment="1">
      <alignment horizontal="left" vertical="center"/>
    </xf>
    <xf numFmtId="0" fontId="88" fillId="37" borderId="19" xfId="0" applyFont="1" applyFill="1" applyBorder="1" applyAlignment="1">
      <alignment horizontal="left" vertical="center"/>
    </xf>
    <xf numFmtId="0" fontId="89" fillId="37" borderId="0" xfId="0" applyFont="1" applyFill="1" applyAlignment="1">
      <alignment horizontal="left" vertical="center"/>
    </xf>
    <xf numFmtId="0" fontId="86" fillId="37" borderId="0" xfId="0" applyFont="1" applyFill="1" applyBorder="1" applyAlignment="1">
      <alignment horizontal="center" vertical="center"/>
    </xf>
    <xf numFmtId="0" fontId="89" fillId="37" borderId="0" xfId="0" applyFont="1" applyFill="1" applyBorder="1" applyAlignment="1">
      <alignment horizontal="left" vertical="center"/>
    </xf>
    <xf numFmtId="173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173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173" fontId="90" fillId="36" borderId="0" xfId="0" applyNumberFormat="1" applyFont="1" applyFill="1" applyBorder="1" applyAlignment="1" applyProtection="1">
      <alignment horizontal="center" vertical="center"/>
      <protection locked="0"/>
    </xf>
    <xf numFmtId="173" fontId="21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6" borderId="0" xfId="0" applyNumberFormat="1" applyFont="1" applyFill="1" applyBorder="1" applyAlignment="1" applyProtection="1">
      <alignment horizontal="right" vertical="center"/>
      <protection/>
    </xf>
    <xf numFmtId="0" fontId="1" fillId="36" borderId="0" xfId="0" applyNumberFormat="1" applyFont="1" applyFill="1" applyBorder="1" applyAlignment="1" applyProtection="1">
      <alignment horizontal="center" vertical="center"/>
      <protection/>
    </xf>
    <xf numFmtId="173" fontId="6" fillId="36" borderId="0" xfId="0" applyNumberFormat="1" applyFont="1" applyFill="1" applyBorder="1" applyAlignment="1" applyProtection="1">
      <alignment horizontal="right" vertical="center"/>
      <protection/>
    </xf>
    <xf numFmtId="0" fontId="4" fillId="36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3" fontId="20" fillId="36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17" fillId="36" borderId="0" xfId="0" applyNumberFormat="1" applyFont="1" applyFill="1" applyBorder="1" applyAlignment="1" applyProtection="1">
      <alignment horizontal="left" vertical="center"/>
      <protection/>
    </xf>
    <xf numFmtId="175" fontId="19" fillId="36" borderId="0" xfId="0" applyNumberFormat="1" applyFont="1" applyFill="1" applyBorder="1" applyAlignment="1" applyProtection="1">
      <alignment horizontal="left" vertical="top"/>
      <protection/>
    </xf>
    <xf numFmtId="0" fontId="20" fillId="36" borderId="0" xfId="0" applyNumberFormat="1" applyFont="1" applyFill="1" applyBorder="1" applyAlignment="1" applyProtection="1">
      <alignment horizontal="left" vertical="center"/>
      <protection/>
    </xf>
    <xf numFmtId="0" fontId="1" fillId="36" borderId="0" xfId="0" applyNumberFormat="1" applyFont="1" applyFill="1" applyBorder="1" applyAlignment="1" applyProtection="1">
      <alignment vertical="top"/>
      <protection/>
    </xf>
    <xf numFmtId="0" fontId="91" fillId="37" borderId="0" xfId="0" applyFont="1" applyFill="1" applyAlignment="1">
      <alignment horizontal="left" vertical="center"/>
    </xf>
    <xf numFmtId="0" fontId="86" fillId="37" borderId="0" xfId="0" applyFont="1" applyFill="1" applyAlignment="1">
      <alignment horizontal="center" vertical="center"/>
    </xf>
    <xf numFmtId="0" fontId="92" fillId="37" borderId="0" xfId="0" applyFont="1" applyFill="1" applyAlignment="1">
      <alignment horizontal="left" vertical="top"/>
    </xf>
    <xf numFmtId="0" fontId="92" fillId="37" borderId="20" xfId="0" applyFont="1" applyFill="1" applyBorder="1" applyAlignment="1">
      <alignment horizontal="left" vertical="top"/>
    </xf>
    <xf numFmtId="0" fontId="86" fillId="37" borderId="0" xfId="0" applyFont="1" applyFill="1" applyAlignment="1">
      <alignment horizontal="center" vertical="top"/>
    </xf>
    <xf numFmtId="0" fontId="1" fillId="36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0" fontId="20" fillId="36" borderId="0" xfId="0" applyNumberFormat="1" applyFont="1" applyFill="1" applyBorder="1" applyAlignment="1" applyProtection="1">
      <alignment horizontal="center" vertical="center"/>
      <protection/>
    </xf>
    <xf numFmtId="0" fontId="86" fillId="37" borderId="20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right" vertical="center"/>
    </xf>
    <xf numFmtId="0" fontId="0" fillId="36" borderId="0" xfId="0" applyFill="1" applyBorder="1" applyAlignment="1">
      <alignment horizontal="left" vertical="center"/>
    </xf>
    <xf numFmtId="0" fontId="93" fillId="37" borderId="0" xfId="0" applyFont="1" applyFill="1" applyAlignment="1" applyProtection="1">
      <alignment horizontal="center" vertical="center"/>
      <protection locked="0"/>
    </xf>
    <xf numFmtId="0" fontId="91" fillId="0" borderId="0" xfId="0" applyFont="1" applyAlignment="1">
      <alignment vertical="center"/>
    </xf>
    <xf numFmtId="0" fontId="91" fillId="37" borderId="0" xfId="0" applyFont="1" applyFill="1" applyAlignment="1">
      <alignment horizontal="center" vertical="center" wrapText="1"/>
    </xf>
    <xf numFmtId="0" fontId="93" fillId="38" borderId="0" xfId="0" applyFont="1" applyFill="1" applyBorder="1" applyAlignment="1" applyProtection="1">
      <alignment horizontal="center" vertical="center"/>
      <protection locked="0"/>
    </xf>
    <xf numFmtId="0" fontId="94" fillId="38" borderId="0" xfId="0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86" fillId="37" borderId="20" xfId="0" applyFont="1" applyFill="1" applyBorder="1" applyAlignment="1">
      <alignment horizontal="left" vertical="center"/>
    </xf>
    <xf numFmtId="0" fontId="86" fillId="37" borderId="21" xfId="0" applyFont="1" applyFill="1" applyBorder="1" applyAlignment="1">
      <alignment horizontal="left" vertical="center"/>
    </xf>
    <xf numFmtId="0" fontId="35" fillId="0" borderId="0" xfId="0" applyNumberFormat="1" applyFont="1" applyAlignment="1" applyProtection="1" quotePrefix="1">
      <alignment vertical="top"/>
      <protection/>
    </xf>
    <xf numFmtId="0" fontId="36" fillId="0" borderId="0" xfId="0" applyFont="1" applyAlignment="1" quotePrefix="1">
      <alignment vertical="center"/>
    </xf>
    <xf numFmtId="0" fontId="95" fillId="37" borderId="0" xfId="0" applyFont="1" applyFill="1" applyAlignment="1">
      <alignment horizontal="left" vertical="center"/>
    </xf>
    <xf numFmtId="0" fontId="92" fillId="37" borderId="0" xfId="0" applyFont="1" applyFill="1" applyAlignment="1">
      <alignment horizontal="left" vertical="center"/>
    </xf>
    <xf numFmtId="0" fontId="96" fillId="37" borderId="0" xfId="0" applyFont="1" applyFill="1" applyAlignment="1">
      <alignment horizontal="center" vertical="center"/>
    </xf>
    <xf numFmtId="0" fontId="97" fillId="37" borderId="0" xfId="0" applyFont="1" applyFill="1" applyAlignment="1">
      <alignment vertical="center"/>
    </xf>
    <xf numFmtId="0" fontId="95" fillId="37" borderId="0" xfId="0" applyFont="1" applyFill="1" applyBorder="1" applyAlignment="1">
      <alignment horizontal="left" vertical="center"/>
    </xf>
    <xf numFmtId="0" fontId="91" fillId="38" borderId="0" xfId="0" applyFont="1" applyFill="1" applyBorder="1" applyAlignment="1">
      <alignment horizontal="center" vertical="center"/>
    </xf>
    <xf numFmtId="0" fontId="17" fillId="36" borderId="0" xfId="0" applyNumberFormat="1" applyFont="1" applyFill="1" applyBorder="1" applyAlignment="1" applyProtection="1">
      <alignment horizontal="center" vertical="center"/>
      <protection/>
    </xf>
    <xf numFmtId="175" fontId="19" fillId="36" borderId="0" xfId="0" applyNumberFormat="1" applyFont="1" applyFill="1" applyBorder="1" applyAlignment="1" applyProtection="1">
      <alignment horizontal="center" vertical="top"/>
      <protection/>
    </xf>
    <xf numFmtId="0" fontId="98" fillId="37" borderId="22" xfId="0" applyFont="1" applyFill="1" applyBorder="1" applyAlignment="1">
      <alignment horizontal="center" vertical="center"/>
    </xf>
    <xf numFmtId="0" fontId="98" fillId="37" borderId="0" xfId="0" applyFont="1" applyFill="1" applyAlignment="1">
      <alignment horizontal="center" vertical="center"/>
    </xf>
    <xf numFmtId="173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7" fillId="39" borderId="23" xfId="0" applyNumberFormat="1" applyFont="1" applyFill="1" applyBorder="1" applyAlignment="1" applyProtection="1">
      <alignment horizontal="center" vertical="center"/>
      <protection/>
    </xf>
    <xf numFmtId="0" fontId="0" fillId="39" borderId="24" xfId="0" applyFill="1" applyBorder="1" applyAlignment="1">
      <alignment horizontal="center" vertical="center"/>
    </xf>
    <xf numFmtId="173" fontId="6" fillId="39" borderId="25" xfId="0" applyNumberFormat="1" applyFont="1" applyFill="1" applyBorder="1" applyAlignment="1" applyProtection="1">
      <alignment horizontal="center" vertical="center"/>
      <protection locked="0"/>
    </xf>
    <xf numFmtId="0" fontId="0" fillId="39" borderId="26" xfId="0" applyFill="1" applyBorder="1" applyAlignment="1">
      <alignment horizontal="center" vertical="center"/>
    </xf>
    <xf numFmtId="1" fontId="30" fillId="40" borderId="27" xfId="0" applyNumberFormat="1" applyFont="1" applyFill="1" applyBorder="1" applyAlignment="1" applyProtection="1">
      <alignment horizontal="center" vertical="center"/>
      <protection locked="0"/>
    </xf>
    <xf numFmtId="0" fontId="0" fillId="39" borderId="28" xfId="0" applyFill="1" applyBorder="1" applyAlignment="1">
      <alignment horizontal="center" vertical="center"/>
    </xf>
    <xf numFmtId="173" fontId="91" fillId="40" borderId="29" xfId="0" applyNumberFormat="1" applyFont="1" applyFill="1" applyBorder="1" applyAlignment="1" applyProtection="1">
      <alignment horizontal="center" vertical="center"/>
      <protection locked="0"/>
    </xf>
    <xf numFmtId="0" fontId="0" fillId="39" borderId="30" xfId="0" applyFill="1" applyBorder="1" applyAlignment="1">
      <alignment horizontal="center" vertical="center"/>
    </xf>
    <xf numFmtId="173" fontId="17" fillId="41" borderId="31" xfId="0" applyNumberFormat="1" applyFont="1" applyFill="1" applyBorder="1" applyAlignment="1" applyProtection="1">
      <alignment horizontal="center" vertical="center"/>
      <protection/>
    </xf>
    <xf numFmtId="0" fontId="0" fillId="41" borderId="32" xfId="0" applyFill="1" applyBorder="1" applyAlignment="1">
      <alignment horizontal="center" vertical="center"/>
    </xf>
    <xf numFmtId="0" fontId="17" fillId="41" borderId="33" xfId="0" applyNumberFormat="1" applyFont="1" applyFill="1" applyBorder="1" applyAlignment="1" applyProtection="1">
      <alignment horizontal="center" vertical="center"/>
      <protection/>
    </xf>
    <xf numFmtId="173" fontId="95" fillId="42" borderId="34" xfId="0" applyNumberFormat="1" applyFont="1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95" fillId="42" borderId="36" xfId="0" applyFont="1" applyFill="1" applyBorder="1" applyAlignment="1">
      <alignment horizontal="center" vertical="center"/>
    </xf>
    <xf numFmtId="0" fontId="0" fillId="41" borderId="37" xfId="0" applyFill="1" applyBorder="1" applyAlignment="1">
      <alignment horizontal="center"/>
    </xf>
    <xf numFmtId="173" fontId="95" fillId="42" borderId="27" xfId="0" applyNumberFormat="1" applyFont="1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95" fillId="42" borderId="27" xfId="0" applyFont="1" applyFill="1" applyBorder="1" applyAlignment="1">
      <alignment horizontal="center" vertical="center"/>
    </xf>
    <xf numFmtId="175" fontId="18" fillId="41" borderId="21" xfId="0" applyNumberFormat="1" applyFont="1" applyFill="1" applyBorder="1" applyAlignment="1" applyProtection="1">
      <alignment horizontal="center" vertical="center"/>
      <protection/>
    </xf>
    <xf numFmtId="0" fontId="0" fillId="41" borderId="14" xfId="0" applyFill="1" applyBorder="1" applyAlignment="1">
      <alignment horizontal="center" vertical="center"/>
    </xf>
    <xf numFmtId="175" fontId="18" fillId="41" borderId="38" xfId="0" applyNumberFormat="1" applyFont="1" applyFill="1" applyBorder="1" applyAlignment="1" applyProtection="1">
      <alignment horizontal="center" vertical="top"/>
      <protection/>
    </xf>
    <xf numFmtId="0" fontId="0" fillId="41" borderId="14" xfId="0" applyFill="1" applyBorder="1" applyAlignment="1">
      <alignment horizontal="center" vertical="top"/>
    </xf>
    <xf numFmtId="175" fontId="99" fillId="42" borderId="19" xfId="0" applyNumberFormat="1" applyFont="1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175" fontId="100" fillId="42" borderId="21" xfId="0" applyNumberFormat="1" applyFont="1" applyFill="1" applyBorder="1" applyAlignment="1">
      <alignment horizontal="center" vertical="top"/>
    </xf>
    <xf numFmtId="0" fontId="0" fillId="41" borderId="39" xfId="0" applyFill="1" applyBorder="1" applyAlignment="1">
      <alignment horizontal="center" vertical="top"/>
    </xf>
    <xf numFmtId="175" fontId="100" fillId="42" borderId="19" xfId="0" applyNumberFormat="1" applyFont="1" applyFill="1" applyBorder="1" applyAlignment="1">
      <alignment horizontal="center" vertical="top"/>
    </xf>
    <xf numFmtId="0" fontId="0" fillId="41" borderId="18" xfId="0" applyFill="1" applyBorder="1" applyAlignment="1">
      <alignment horizontal="center" vertical="top"/>
    </xf>
    <xf numFmtId="173" fontId="20" fillId="41" borderId="40" xfId="0" applyNumberFormat="1" applyFont="1" applyFill="1" applyBorder="1" applyAlignment="1" applyProtection="1">
      <alignment horizontal="center" vertical="center"/>
      <protection/>
    </xf>
    <xf numFmtId="0" fontId="0" fillId="41" borderId="41" xfId="0" applyFill="1" applyBorder="1" applyAlignment="1">
      <alignment horizontal="center" vertical="center"/>
    </xf>
    <xf numFmtId="0" fontId="20" fillId="41" borderId="42" xfId="0" applyNumberFormat="1" applyFont="1" applyFill="1" applyBorder="1" applyAlignment="1" applyProtection="1">
      <alignment horizontal="center" vertical="center"/>
      <protection/>
    </xf>
    <xf numFmtId="0" fontId="0" fillId="41" borderId="43" xfId="0" applyFill="1" applyBorder="1" applyAlignment="1">
      <alignment horizontal="center" vertical="center"/>
    </xf>
    <xf numFmtId="173" fontId="101" fillId="42" borderId="29" xfId="0" applyNumberFormat="1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101" fillId="42" borderId="40" xfId="0" applyFont="1" applyFill="1" applyBorder="1" applyAlignment="1">
      <alignment horizontal="center" vertical="center"/>
    </xf>
    <xf numFmtId="0" fontId="0" fillId="41" borderId="44" xfId="0" applyFill="1" applyBorder="1" applyAlignment="1">
      <alignment horizontal="center"/>
    </xf>
    <xf numFmtId="0" fontId="0" fillId="41" borderId="45" xfId="0" applyFill="1" applyBorder="1" applyAlignment="1">
      <alignment horizontal="center" vertical="center"/>
    </xf>
    <xf numFmtId="0" fontId="101" fillId="42" borderId="2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6" fillId="0" borderId="0" xfId="0" applyFont="1" applyFill="1" applyAlignment="1">
      <alignment horizontal="center" vertical="top"/>
    </xf>
    <xf numFmtId="0" fontId="91" fillId="0" borderId="4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Alignment="1" applyProtection="1">
      <alignment vertical="top"/>
      <protection/>
    </xf>
    <xf numFmtId="173" fontId="20" fillId="36" borderId="0" xfId="0" applyNumberFormat="1" applyFont="1" applyFill="1" applyBorder="1" applyAlignment="1" applyProtection="1">
      <alignment horizontal="right" vertical="center"/>
      <protection/>
    </xf>
    <xf numFmtId="0" fontId="86" fillId="38" borderId="0" xfId="0" applyFont="1" applyFill="1" applyAlignment="1">
      <alignment horizontal="center" vertical="center"/>
    </xf>
    <xf numFmtId="0" fontId="91" fillId="38" borderId="48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indexed="8"/>
      </font>
      <fill>
        <patternFill patternType="solid">
          <bgColor indexed="18"/>
        </patternFill>
      </fill>
    </dxf>
    <dxf>
      <font>
        <b/>
        <i val="0"/>
        <color rgb="FF000000"/>
      </font>
      <fill>
        <patternFill patternType="solid">
          <bgColor rgb="FFC0EDF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D90B00"/>
      <rgbColor rgb="009A9A9A"/>
      <rgbColor rgb="007E7E7E"/>
      <rgbColor rgb="00FFFFFF"/>
      <rgbColor rgb="00FF0000"/>
      <rgbColor rgb="00FFFD00"/>
      <rgbColor rgb="00C0EDFE"/>
      <rgbColor rgb="00000000"/>
      <rgbColor rgb="00B3B3B3"/>
      <rgbColor rgb="00FFFD04"/>
      <rgbColor rgb="0064FF64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32</xdr:row>
      <xdr:rowOff>9525</xdr:rowOff>
    </xdr:from>
    <xdr:to>
      <xdr:col>16</xdr:col>
      <xdr:colOff>762000</xdr:colOff>
      <xdr:row>82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905750"/>
          <a:ext cx="1221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17</xdr:col>
      <xdr:colOff>295275</xdr:colOff>
      <xdr:row>1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126873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18</xdr:col>
      <xdr:colOff>85725</xdr:colOff>
      <xdr:row>1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0"/>
          <a:ext cx="13458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82"/>
  <sheetViews>
    <sheetView showGridLines="0" tabSelected="1" workbookViewId="0" topLeftCell="A1">
      <selection activeCell="C86" sqref="C86"/>
    </sheetView>
  </sheetViews>
  <sheetFormatPr defaultColWidth="10.296875" defaultRowHeight="19.5" customHeight="1"/>
  <cols>
    <col min="1" max="1" width="4.69921875" style="1" customWidth="1"/>
    <col min="2" max="6" width="8.69921875" style="1" customWidth="1"/>
    <col min="7" max="7" width="7.69921875" style="1" customWidth="1"/>
    <col min="8" max="9" width="8.69921875" style="1" customWidth="1"/>
    <col min="10" max="10" width="6.09765625" style="1" customWidth="1"/>
    <col min="11" max="12" width="8.69921875" style="1" customWidth="1"/>
    <col min="13" max="13" width="7.69921875" style="1" customWidth="1"/>
    <col min="14" max="15" width="8.69921875" style="1" customWidth="1"/>
    <col min="16" max="16" width="6.09765625" style="1" customWidth="1"/>
    <col min="17" max="18" width="8.69921875" style="1" customWidth="1"/>
    <col min="19" max="19" width="9.09765625" style="1" customWidth="1"/>
    <col min="20" max="20" width="5" style="1" customWidth="1"/>
    <col min="21" max="23" width="7.69921875" style="1" customWidth="1"/>
    <col min="24" max="25" width="5.296875" style="1" customWidth="1"/>
    <col min="26" max="26" width="5.69921875" style="1" customWidth="1"/>
    <col min="27" max="28" width="5.296875" style="1" customWidth="1"/>
    <col min="29" max="32" width="5.8984375" style="1" customWidth="1"/>
    <col min="33" max="38" width="10.296875" style="1" customWidth="1"/>
    <col min="39" max="41" width="7.69921875" style="1" customWidth="1"/>
    <col min="42" max="42" width="5.8984375" style="1" customWidth="1"/>
    <col min="43" max="44" width="7.69921875" style="1" customWidth="1"/>
    <col min="45" max="46" width="10.296875" style="1" customWidth="1"/>
    <col min="47" max="47" width="11.09765625" style="1" bestFit="1" customWidth="1"/>
    <col min="48" max="48" width="10.296875" style="1" customWidth="1"/>
    <col min="49" max="50" width="11.09765625" style="1" bestFit="1" customWidth="1"/>
    <col min="51" max="53" width="10.296875" style="1" customWidth="1"/>
    <col min="54" max="54" width="11" style="1" bestFit="1" customWidth="1"/>
    <col min="55" max="16384" width="10.296875" style="1" customWidth="1"/>
  </cols>
  <sheetData>
    <row r="1" spans="2:44" ht="117.7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M1" s="106"/>
      <c r="AN1" s="106"/>
      <c r="AO1" s="106"/>
      <c r="AP1" s="106"/>
      <c r="AQ1" s="106"/>
      <c r="AR1" s="106"/>
    </row>
    <row r="2" spans="1:44" ht="49.5" customHeight="1">
      <c r="A2" s="87" t="s">
        <v>75</v>
      </c>
      <c r="B2" s="2" t="s">
        <v>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4"/>
      <c r="AD2" s="4"/>
      <c r="AE2" s="4"/>
      <c r="AF2" s="4"/>
      <c r="AM2" s="4"/>
      <c r="AN2" s="4"/>
      <c r="AO2" s="4"/>
      <c r="AP2" s="4"/>
      <c r="AQ2" s="4"/>
      <c r="AR2" s="4"/>
    </row>
    <row r="3" spans="2:44" s="115" customFormat="1" ht="4.5" customHeight="1">
      <c r="B3" s="25"/>
      <c r="C3" s="25"/>
      <c r="D3" s="25"/>
      <c r="E3" s="25"/>
      <c r="F3" s="25"/>
      <c r="G3" s="25"/>
      <c r="H3" s="25"/>
      <c r="I3" s="25"/>
      <c r="J3" s="25"/>
      <c r="K3" s="3"/>
      <c r="L3" s="3"/>
      <c r="M3" s="3"/>
      <c r="N3" s="3"/>
      <c r="O3" s="3"/>
      <c r="P3" s="3"/>
      <c r="Q3" s="3"/>
      <c r="R3" s="25"/>
      <c r="S3" s="25"/>
      <c r="T3" s="25"/>
      <c r="U3" s="25"/>
      <c r="V3" s="25"/>
      <c r="W3" s="25"/>
      <c r="X3" s="25"/>
      <c r="Y3" s="25"/>
      <c r="Z3" s="25"/>
      <c r="AA3" s="25"/>
      <c r="AB3" s="3"/>
      <c r="AC3" s="3"/>
      <c r="AD3" s="3"/>
      <c r="AE3" s="3"/>
      <c r="AF3" s="3"/>
      <c r="AM3" s="3"/>
      <c r="AN3" s="3"/>
      <c r="AO3" s="3"/>
      <c r="AP3" s="3"/>
      <c r="AQ3" s="3"/>
      <c r="AR3" s="3"/>
    </row>
    <row r="4" spans="2:44" ht="15" customHeight="1">
      <c r="B4" s="142" t="s">
        <v>0</v>
      </c>
      <c r="C4" s="142"/>
      <c r="D4" s="142"/>
      <c r="E4" s="142"/>
      <c r="F4" s="142"/>
      <c r="G4" s="142"/>
      <c r="H4" s="142"/>
      <c r="I4" s="142"/>
      <c r="J4" s="146"/>
      <c r="K4" s="6"/>
      <c r="L4" s="6"/>
      <c r="M4" s="6"/>
      <c r="N4" s="6"/>
      <c r="O4" s="6"/>
      <c r="P4" s="6"/>
      <c r="Q4" s="6"/>
      <c r="R4" s="5"/>
      <c r="S4" s="6"/>
      <c r="T4" s="6"/>
      <c r="U4" s="6"/>
      <c r="V4" s="6"/>
      <c r="W4" s="6"/>
      <c r="X4" s="6"/>
      <c r="Y4" s="6"/>
      <c r="Z4" s="6"/>
      <c r="AA4" s="7"/>
      <c r="AB4" s="6"/>
      <c r="AC4" s="6"/>
      <c r="AD4" s="6"/>
      <c r="AE4" s="6"/>
      <c r="AF4" s="6"/>
      <c r="AM4" s="6"/>
      <c r="AN4" s="6"/>
      <c r="AO4" s="6"/>
      <c r="AP4" s="6"/>
      <c r="AQ4" s="6"/>
      <c r="AR4" s="6"/>
    </row>
    <row r="5" spans="2:44" ht="15" customHeight="1">
      <c r="B5" s="143" t="s">
        <v>100</v>
      </c>
      <c r="C5" s="143"/>
      <c r="D5" s="143"/>
      <c r="E5" s="143"/>
      <c r="F5" s="143"/>
      <c r="G5" s="143"/>
      <c r="H5" s="143"/>
      <c r="I5" s="144"/>
      <c r="J5" s="14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3"/>
      <c r="Z5" s="3"/>
      <c r="AA5" s="3"/>
      <c r="AB5" s="3"/>
      <c r="AC5" s="3"/>
      <c r="AD5" s="3"/>
      <c r="AE5" s="3"/>
      <c r="AF5" s="3"/>
      <c r="AM5" s="3"/>
      <c r="AN5" s="3"/>
      <c r="AO5" s="3"/>
      <c r="AP5" s="3"/>
      <c r="AQ5" s="3"/>
      <c r="AR5" s="3"/>
    </row>
    <row r="6" spans="2:44" ht="19.5" customHeight="1" hidden="1">
      <c r="B6" s="8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5"/>
      <c r="P6" s="136"/>
      <c r="Q6" s="147"/>
      <c r="R6" s="147"/>
      <c r="S6" s="11"/>
      <c r="T6" s="11"/>
      <c r="U6" s="11"/>
      <c r="V6" s="11"/>
      <c r="W6" s="11"/>
      <c r="Z6" s="11"/>
      <c r="AA6" s="11"/>
      <c r="AB6" s="11"/>
      <c r="AC6" s="11"/>
      <c r="AD6" s="11"/>
      <c r="AE6" s="11"/>
      <c r="AF6" s="11"/>
      <c r="AM6" s="11"/>
      <c r="AN6" s="11"/>
      <c r="AO6" s="11"/>
      <c r="AP6" s="11"/>
      <c r="AQ6" s="11"/>
      <c r="AR6" s="11"/>
    </row>
    <row r="7" spans="2:44" s="15" customFormat="1" ht="19.5" customHeight="1" hidden="1"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AB7" s="14"/>
      <c r="AC7" s="14"/>
      <c r="AD7" s="14"/>
      <c r="AE7" s="14"/>
      <c r="AF7" s="14"/>
      <c r="AM7" s="14"/>
      <c r="AN7" s="14"/>
      <c r="AO7" s="14"/>
      <c r="AP7" s="14"/>
      <c r="AQ7" s="14"/>
      <c r="AR7" s="14"/>
    </row>
    <row r="8" spans="2:44" ht="19.5" customHeight="1">
      <c r="B8" s="16"/>
      <c r="C8" s="27"/>
      <c r="D8" s="27"/>
      <c r="F8" s="27"/>
      <c r="G8" s="113"/>
      <c r="H8" s="3"/>
      <c r="I8" s="10"/>
      <c r="J8" s="3"/>
      <c r="K8" s="3"/>
      <c r="L8" s="27"/>
      <c r="M8" s="27"/>
      <c r="N8" s="27"/>
      <c r="O8" s="135"/>
      <c r="P8" s="136"/>
      <c r="Q8" s="147"/>
      <c r="R8" s="147"/>
      <c r="S8" s="27"/>
      <c r="Y8" s="27"/>
      <c r="Z8" s="27"/>
      <c r="AA8" s="27"/>
      <c r="AB8" s="27"/>
      <c r="AC8" s="27"/>
      <c r="AD8" s="27"/>
      <c r="AE8" s="27"/>
      <c r="AF8" s="27"/>
      <c r="AM8" s="27"/>
      <c r="AN8" s="27"/>
      <c r="AO8" s="27"/>
      <c r="AP8" s="27"/>
      <c r="AQ8" s="27"/>
      <c r="AR8" s="27"/>
    </row>
    <row r="9" spans="1:44" ht="21" customHeight="1">
      <c r="A9" s="27"/>
      <c r="B9" s="8" t="s">
        <v>72</v>
      </c>
      <c r="C9" s="154" t="s">
        <v>109</v>
      </c>
      <c r="D9" s="155"/>
      <c r="F9" s="94"/>
      <c r="G9" s="141" t="s">
        <v>97</v>
      </c>
      <c r="H9" s="133" t="s">
        <v>95</v>
      </c>
      <c r="I9" s="133"/>
      <c r="J9" s="133"/>
      <c r="K9" s="134"/>
      <c r="L9" s="132"/>
      <c r="M9" s="140" t="s">
        <v>98</v>
      </c>
      <c r="N9" s="14"/>
      <c r="O9" s="94"/>
      <c r="P9" s="8" t="s">
        <v>73</v>
      </c>
      <c r="Q9" s="154" t="s">
        <v>112</v>
      </c>
      <c r="R9" s="155"/>
      <c r="W9" s="94"/>
      <c r="X9" s="94"/>
      <c r="Y9" s="94"/>
      <c r="AD9" s="94"/>
      <c r="AE9" s="94"/>
      <c r="AF9" s="94"/>
      <c r="AM9" s="94"/>
      <c r="AN9" s="94"/>
      <c r="AO9" s="94"/>
      <c r="AP9" s="94"/>
      <c r="AQ9" s="94"/>
      <c r="AR9" s="94"/>
    </row>
    <row r="10" spans="4:44" ht="18.75" customHeight="1"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M10" s="94"/>
      <c r="AN10" s="94"/>
      <c r="AO10" s="94"/>
      <c r="AP10" s="94"/>
      <c r="AQ10" s="94"/>
      <c r="AR10" s="94"/>
    </row>
    <row r="11" spans="2:44" ht="18.75" customHeight="1" hidden="1">
      <c r="B11" s="18" t="s">
        <v>11</v>
      </c>
      <c r="C11" s="19"/>
      <c r="D11" s="19" t="str">
        <f>IF(C9="","",C9)</f>
        <v>IQ3 80MP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M11" s="19"/>
      <c r="AN11" s="19"/>
      <c r="AO11" s="19"/>
      <c r="AP11" s="19"/>
      <c r="AQ11" s="19"/>
      <c r="AR11" s="19"/>
    </row>
    <row r="12" spans="2:44" ht="18.75" customHeight="1" hidden="1">
      <c r="B12" s="18" t="s">
        <v>12</v>
      </c>
      <c r="C12" s="20"/>
      <c r="D12" s="20" t="str">
        <f>IF(Q9="","",Q9)</f>
        <v>Canon 5Ds/5Ds R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M12" s="20"/>
      <c r="AN12" s="20"/>
      <c r="AO12" s="20"/>
      <c r="AP12" s="20"/>
      <c r="AQ12" s="20"/>
      <c r="AR12" s="20"/>
    </row>
    <row r="13" spans="2:44" ht="18.75" customHeight="1" hidden="1">
      <c r="B13" s="18" t="s">
        <v>13</v>
      </c>
      <c r="C13" s="20"/>
      <c r="D13" s="19" t="str">
        <f>C9</f>
        <v>IQ3 80MP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M13" s="20"/>
      <c r="AN13" s="20"/>
      <c r="AO13" s="20"/>
      <c r="AP13" s="20"/>
      <c r="AQ13" s="20"/>
      <c r="AR13" s="20"/>
    </row>
    <row r="14" spans="2:44" ht="18.75" customHeight="1" hidden="1">
      <c r="B14" s="18" t="s">
        <v>14</v>
      </c>
      <c r="C14" s="20"/>
      <c r="D14" s="20" t="str">
        <f>Q9</f>
        <v>Canon 5Ds/5Ds R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M14" s="20"/>
      <c r="AN14" s="20"/>
      <c r="AO14" s="20"/>
      <c r="AP14" s="20"/>
      <c r="AQ14" s="20"/>
      <c r="AR14" s="20"/>
    </row>
    <row r="15" spans="2:55" ht="18.75" customHeight="1" hidden="1">
      <c r="B15" s="21" t="s">
        <v>15</v>
      </c>
      <c r="C15" s="22"/>
      <c r="D15" s="22">
        <f>IF(C9="8x10",1,0)</f>
        <v>0</v>
      </c>
      <c r="E15" s="22">
        <f>IF(C9="4x5",1,0)</f>
        <v>0</v>
      </c>
      <c r="F15" s="22">
        <f>IF(C9="IQ3 80MP",1,0)</f>
        <v>1</v>
      </c>
      <c r="G15" s="22">
        <f>IF(C9="IQ3 60MP",1,0)</f>
        <v>0</v>
      </c>
      <c r="H15" s="22">
        <f>IF(C9="IQ3 50MP",1,0)</f>
        <v>0</v>
      </c>
      <c r="I15" s="22">
        <f>IF(C9="IQ280",1,0)</f>
        <v>0</v>
      </c>
      <c r="J15" s="22">
        <f>IF(C9="IQ260",1,0)</f>
        <v>0</v>
      </c>
      <c r="K15" s="22">
        <f>IF(C9="IQ250",1,0)</f>
        <v>0</v>
      </c>
      <c r="L15" s="22">
        <f>IF(C9="IQ180",1,0)</f>
        <v>0</v>
      </c>
      <c r="M15" s="22">
        <f>IF(C9="IQ160",1,0)</f>
        <v>0</v>
      </c>
      <c r="N15" s="22">
        <f>IF(C9="IQ150",1,0)</f>
        <v>0</v>
      </c>
      <c r="O15" s="22">
        <f>IF(C9="IQ140",1,0)</f>
        <v>0</v>
      </c>
      <c r="P15" s="22">
        <f>IF(C9="P65+",1,0)</f>
        <v>0</v>
      </c>
      <c r="Q15" s="22">
        <f>IF(C9="P45+",1,0)</f>
        <v>0</v>
      </c>
      <c r="R15" s="22">
        <f>IF(C9="P40+",1,0)</f>
        <v>0</v>
      </c>
      <c r="S15" s="23">
        <f>IF(C9="P30+",1,0)</f>
        <v>0</v>
      </c>
      <c r="T15" s="26">
        <f>IF(C9="P25+",1,0)</f>
        <v>0</v>
      </c>
      <c r="U15" s="22">
        <f>IF(C9="P21+",1,0)</f>
        <v>0</v>
      </c>
      <c r="V15" s="22">
        <f>IF(C9="P20+",1,0)</f>
        <v>0</v>
      </c>
      <c r="W15" s="22">
        <f>IF(C9="Credo 80",1,0)</f>
        <v>0</v>
      </c>
      <c r="X15" s="22">
        <f>IF(C9="Credo 60",1,0)</f>
        <v>0</v>
      </c>
      <c r="Y15" s="22">
        <f>IF(C9="Credo 50",1,0)</f>
        <v>0</v>
      </c>
      <c r="Z15" s="22">
        <f>IF(C9="Credo 40",1,0)</f>
        <v>0</v>
      </c>
      <c r="AA15" s="22">
        <f>IF(C9="Aptus-II 12",1,0)</f>
        <v>0</v>
      </c>
      <c r="AB15" s="22">
        <f>IF(C9="Aptus-II 10",1,0)</f>
        <v>0</v>
      </c>
      <c r="AC15" s="22">
        <f>IF(C9="Aptus-II 7",1,0)</f>
        <v>0</v>
      </c>
      <c r="AD15" s="22">
        <f>IF(C9="Aptus-II 6",1,0)</f>
        <v>0</v>
      </c>
      <c r="AE15" s="22">
        <f>IF(C9="Aptus-II 5",1,0)</f>
        <v>0</v>
      </c>
      <c r="AF15" s="22">
        <f>IF(C9="DM80",1,0)</f>
        <v>0</v>
      </c>
      <c r="AG15" s="22">
        <f>IF(C9="DM56",1,0)</f>
        <v>0</v>
      </c>
      <c r="AH15" s="22">
        <f>IF(C9="DM33",1,0)</f>
        <v>0</v>
      </c>
      <c r="AI15" s="22">
        <f>IF(C9="DM28",1,0)</f>
        <v>0</v>
      </c>
      <c r="AJ15" s="22">
        <f>IF(C9="DM22",1,0)</f>
        <v>0</v>
      </c>
      <c r="AK15" s="1">
        <f>IF(C9="H5D-200 MS",1,0)</f>
        <v>0</v>
      </c>
      <c r="AL15" s="1">
        <f>IF(C9="H5D-60",1,0)</f>
        <v>0</v>
      </c>
      <c r="AM15" s="1">
        <f>IF(C9="H5D-50",1,0)</f>
        <v>0</v>
      </c>
      <c r="AN15" s="1">
        <f>IF(C9="H5D-50 MS",1,0)</f>
        <v>0</v>
      </c>
      <c r="AO15" s="1">
        <f>IF(C9="H5D-50C",1,0)</f>
        <v>0</v>
      </c>
      <c r="AP15" s="1">
        <f>IF(C9="H5D-40",1,0)</f>
        <v>0</v>
      </c>
      <c r="AQ15" s="150">
        <f>IF(C9="H4D-200 MS",1,0)</f>
        <v>0</v>
      </c>
      <c r="AR15" s="150">
        <f>IF(C9="H4D-60",1,0)</f>
        <v>0</v>
      </c>
      <c r="AS15" s="150">
        <f>IF(C9="H4D-50",1,0)</f>
        <v>0</v>
      </c>
      <c r="AT15" s="22">
        <f>IF(C9="H4D-50MS",1,0)</f>
        <v>0</v>
      </c>
      <c r="AU15" s="22">
        <f>IF(C9="H4D-40",1,0)</f>
        <v>0</v>
      </c>
      <c r="AV15" s="1">
        <f>IF(C9="H4D-31",1,0)</f>
        <v>0</v>
      </c>
      <c r="AW15" s="1">
        <f>IF(C9="Leica S2",1,0)</f>
        <v>0</v>
      </c>
      <c r="AX15" s="1">
        <f>IF(C9="Leica S (Type 006)",1,0)</f>
        <v>0</v>
      </c>
      <c r="AY15" s="1">
        <f>IF(C9="Pentax 645D",1,0)</f>
        <v>0</v>
      </c>
      <c r="AZ15" s="1">
        <f>IF(C9="Pentax 645Z",1,0)</f>
        <v>0</v>
      </c>
      <c r="BA15" s="1">
        <f>IF(C9="Canon 5D2",1,0)</f>
        <v>0</v>
      </c>
      <c r="BB15" s="1">
        <f>IF(C9="Canon 5Ds/5Ds R",1,0)</f>
        <v>0</v>
      </c>
      <c r="BC15" s="1">
        <f>IF(C9="Canon 7D",1,0)</f>
        <v>0</v>
      </c>
    </row>
    <row r="16" spans="2:55" ht="18.75" customHeight="1" hidden="1">
      <c r="B16" s="21"/>
      <c r="C16" s="23"/>
      <c r="D16" s="23">
        <f>IF(Q9="8x10",1,0)</f>
        <v>0</v>
      </c>
      <c r="E16" s="23">
        <f>IF(Q9="4x5",1,0)</f>
        <v>0</v>
      </c>
      <c r="F16" s="23">
        <f>IF(Q9="IQ3 80MP",1,0)</f>
        <v>0</v>
      </c>
      <c r="G16" s="23">
        <f>IF(Q9="IQ3 60MP",1,0)</f>
        <v>0</v>
      </c>
      <c r="H16" s="23">
        <f>IF(Q9="IQ3 50MP",1,0)</f>
        <v>0</v>
      </c>
      <c r="I16" s="23">
        <f>IF(Q9="IQ280",1,0)</f>
        <v>0</v>
      </c>
      <c r="J16" s="23">
        <f>IF(Q9="IQ260",1,0)</f>
        <v>0</v>
      </c>
      <c r="K16" s="23">
        <f>IF(Q9="IQ250",1,0)</f>
        <v>0</v>
      </c>
      <c r="L16" s="23">
        <f>IF(Q9="IQ180",1,0)</f>
        <v>0</v>
      </c>
      <c r="M16" s="23">
        <f>IF(Q9="IQ160",1,0)</f>
        <v>0</v>
      </c>
      <c r="N16" s="23">
        <f>IF(Q9="IQ150",1,0)</f>
        <v>0</v>
      </c>
      <c r="O16" s="23">
        <f>IF(Q9="IQ140",1,0)</f>
        <v>0</v>
      </c>
      <c r="P16" s="23">
        <f>IF(Q9="P65+",1,0)</f>
        <v>0</v>
      </c>
      <c r="Q16" s="23">
        <f>IF(Q9="P45+",1,0)</f>
        <v>0</v>
      </c>
      <c r="R16" s="23">
        <f>IF(9="P40+",1,0)</f>
        <v>0</v>
      </c>
      <c r="S16" s="23">
        <f>IF(Q9="P30+",1,0)</f>
        <v>0</v>
      </c>
      <c r="T16" s="26">
        <f>IF(Q9="P25+",1,0)</f>
        <v>0</v>
      </c>
      <c r="U16" s="23">
        <f>IF(Q9="P21+",1,0)</f>
        <v>0</v>
      </c>
      <c r="V16" s="23">
        <f>IF(Q9="P20+",1,0)</f>
        <v>0</v>
      </c>
      <c r="W16" s="23">
        <f>IF(Q9="Credo 80",1,0)</f>
        <v>0</v>
      </c>
      <c r="X16" s="23">
        <f>IF(Q9="Credo 60",1,0)</f>
        <v>0</v>
      </c>
      <c r="Y16" s="23">
        <f>IF(Q9="Credo 50",1,0)</f>
        <v>0</v>
      </c>
      <c r="Z16" s="23">
        <f>IF(Q9="Credo 40",1,0)</f>
        <v>0</v>
      </c>
      <c r="AA16" s="23">
        <f>IF(Q9="Aptus-II 12",1,0)</f>
        <v>0</v>
      </c>
      <c r="AB16" s="23">
        <f>IF(Q9="Aptus-II 10",1,0)</f>
        <v>0</v>
      </c>
      <c r="AC16" s="23">
        <f>IF(9="Aptus-II 7",1,0)</f>
        <v>0</v>
      </c>
      <c r="AD16" s="23">
        <f>IF(9="Aptus-II 6",1,0)</f>
        <v>0</v>
      </c>
      <c r="AE16" s="23">
        <f>IF(Q9="Aptus-II 5",1,0)</f>
        <v>0</v>
      </c>
      <c r="AF16" s="23">
        <f>IF(Q9="DM80",1,0)</f>
        <v>0</v>
      </c>
      <c r="AG16" s="23">
        <f>IF(Q9="DM56",1,0)</f>
        <v>0</v>
      </c>
      <c r="AH16" s="23">
        <f>IF(Q9="DM33",1,0)</f>
        <v>0</v>
      </c>
      <c r="AI16" s="23">
        <f>IF(Q9="DM28",1,0)</f>
        <v>0</v>
      </c>
      <c r="AJ16" s="23">
        <f>IF(Q9="DM22",1,0)</f>
        <v>0</v>
      </c>
      <c r="AK16" s="1">
        <f>IF(Q9="H5D-200 MS",1,0)</f>
        <v>0</v>
      </c>
      <c r="AL16" s="1">
        <f>IF(Q9="H5D-60",1,0)</f>
        <v>0</v>
      </c>
      <c r="AM16" s="1">
        <f>IF(Q9="H5D-50",1,0)</f>
        <v>0</v>
      </c>
      <c r="AN16" s="1">
        <f>IF(Q9="H5D-50 MS",1,0)</f>
        <v>0</v>
      </c>
      <c r="AO16" s="1">
        <f>IF(Q9="H5D-50C",1,0)</f>
        <v>0</v>
      </c>
      <c r="AP16" s="1">
        <f>IF(Q9="H5D-40",1,0)</f>
        <v>0</v>
      </c>
      <c r="AQ16" s="151">
        <f>IF(Q9="H4D-200 MS",1,0)</f>
        <v>0</v>
      </c>
      <c r="AR16" s="151">
        <f>IF(Q9="H4D-60",1,0)</f>
        <v>0</v>
      </c>
      <c r="AS16" s="151">
        <f>IF(Q9="H4D-50",1,0)</f>
        <v>0</v>
      </c>
      <c r="AT16" s="23">
        <f>IF(Q9="H4D-40",1,0)</f>
        <v>0</v>
      </c>
      <c r="AU16" s="23">
        <f>IF(Q9="H4D-31",1,0)</f>
        <v>0</v>
      </c>
      <c r="AV16" s="1">
        <f>IF(Q9="Leica S2",1,0)</f>
        <v>0</v>
      </c>
      <c r="AW16" s="1">
        <f>IF(Q9="Leica S2",1,0)</f>
        <v>0</v>
      </c>
      <c r="AX16" s="1">
        <f>IF(Q9="Leica S (Type 006)",1,0)</f>
        <v>0</v>
      </c>
      <c r="AY16" s="1">
        <f>IF(Q9="Pentax 645D",1,0)</f>
        <v>0</v>
      </c>
      <c r="AZ16" s="1">
        <f>IF(Q9="Pentax 645Z",1,0)</f>
        <v>0</v>
      </c>
      <c r="BA16" s="1">
        <f>IF(Q9="Canon 5D2",1,0)</f>
        <v>0</v>
      </c>
      <c r="BB16" s="1">
        <f>IF(Q9="Canon 5Ds/5Ds R",1,0)</f>
        <v>1</v>
      </c>
      <c r="BC16" s="1">
        <f>IF(Q9="Canon 7D",1,0)</f>
        <v>0</v>
      </c>
    </row>
    <row r="17" spans="2:44" ht="19.5" customHeight="1">
      <c r="B17" s="2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M17" s="24"/>
      <c r="AN17" s="24"/>
      <c r="AO17" s="24"/>
      <c r="AP17" s="24"/>
      <c r="AQ17" s="24"/>
      <c r="AR17" s="24"/>
    </row>
    <row r="18" spans="2:43" ht="21" customHeight="1">
      <c r="B18" s="25" t="str">
        <f>CONCATENATE("2. ENTER A LENS TO USE WITH THE ",D13)</f>
        <v>2. ENTER A LENS TO USE WITH THE IQ3 80MP</v>
      </c>
      <c r="C18" s="10"/>
      <c r="D18" s="10"/>
      <c r="E18" s="10"/>
      <c r="F18" s="10"/>
      <c r="G18" s="10"/>
      <c r="H18" s="10"/>
      <c r="I18" s="156">
        <v>150</v>
      </c>
      <c r="J18" s="157"/>
      <c r="K18" s="10"/>
      <c r="L18" s="10"/>
      <c r="M18" s="95"/>
      <c r="N18" s="107"/>
      <c r="O18" s="107"/>
      <c r="P18" s="1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M18" s="24"/>
      <c r="AN18" s="24"/>
      <c r="AO18" s="24"/>
      <c r="AP18" s="24"/>
      <c r="AQ18" s="24"/>
    </row>
    <row r="19" spans="2:43" ht="19.5" customHeight="1">
      <c r="B19" s="109"/>
      <c r="C19" s="110"/>
      <c r="D19" s="111"/>
      <c r="E19" s="112"/>
      <c r="F19" s="10"/>
      <c r="G19" s="10"/>
      <c r="H19" s="10"/>
      <c r="I19" s="30"/>
      <c r="J19" s="30"/>
      <c r="K19" s="28"/>
      <c r="L19" s="1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M19" s="27"/>
      <c r="AN19" s="27"/>
      <c r="AO19" s="27"/>
      <c r="AP19" s="27"/>
      <c r="AQ19" s="27"/>
    </row>
    <row r="20" spans="2:43" ht="19.5" customHeight="1" hidden="1">
      <c r="B20" s="31"/>
      <c r="C20" s="27"/>
      <c r="D20" s="29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M20" s="27"/>
      <c r="AN20" s="27"/>
      <c r="AO20" s="27"/>
      <c r="AP20" s="27"/>
      <c r="AQ20" s="27"/>
    </row>
    <row r="21" spans="2:43" ht="21" customHeight="1">
      <c r="B21" s="10"/>
      <c r="C21" s="27"/>
      <c r="D21" s="29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M21" s="27"/>
      <c r="AN21" s="27"/>
      <c r="AO21" s="27"/>
      <c r="AP21" s="27"/>
      <c r="AQ21" s="27"/>
    </row>
    <row r="22" spans="2:43" ht="19.5">
      <c r="B22" s="25" t="s">
        <v>16</v>
      </c>
      <c r="C22" s="27"/>
      <c r="D22" s="29"/>
      <c r="E22" s="28"/>
      <c r="F22" s="96"/>
      <c r="G22" s="96"/>
      <c r="H22" s="97" t="s">
        <v>17</v>
      </c>
      <c r="I22" s="158">
        <v>1</v>
      </c>
      <c r="J22" s="159"/>
      <c r="K22" s="99" t="str">
        <f>IF(I22&gt;1,CONCATENATE("  (",D47," rows, ",D48," columns)"),"  [no stitching]")</f>
        <v>  [no stitching]</v>
      </c>
      <c r="L22" s="98"/>
      <c r="M22" s="101"/>
      <c r="N22" s="101"/>
      <c r="O22" s="101"/>
      <c r="P22" s="96"/>
      <c r="Q22" s="96"/>
      <c r="R22" s="9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M22" s="27"/>
      <c r="AN22" s="27"/>
      <c r="AO22" s="27"/>
      <c r="AP22" s="27"/>
      <c r="AQ22" s="27"/>
    </row>
    <row r="23" spans="2:43" ht="19.5">
      <c r="B23" s="5" t="s">
        <v>18</v>
      </c>
      <c r="C23" s="27"/>
      <c r="D23" s="29"/>
      <c r="E23" s="28"/>
      <c r="F23" s="96"/>
      <c r="G23" s="96"/>
      <c r="H23" s="97" t="s">
        <v>19</v>
      </c>
      <c r="I23" s="160">
        <v>12</v>
      </c>
      <c r="J23" s="161"/>
      <c r="K23" s="139" t="s">
        <v>101</v>
      </c>
      <c r="L23" s="100"/>
      <c r="M23" s="102"/>
      <c r="N23" s="102"/>
      <c r="O23" s="102"/>
      <c r="P23" s="100"/>
      <c r="Q23" s="100"/>
      <c r="R23" s="10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M23" s="27"/>
      <c r="AN23" s="27"/>
      <c r="AO23" s="27"/>
      <c r="AP23" s="27"/>
      <c r="AQ23" s="27"/>
    </row>
    <row r="24" spans="2:43" ht="19.5" customHeight="1">
      <c r="B24" s="32" t="s">
        <v>20</v>
      </c>
      <c r="C24" s="17"/>
      <c r="D24" s="33"/>
      <c r="E24" s="34"/>
      <c r="F24" s="17"/>
      <c r="G24" s="138"/>
      <c r="H24" s="137"/>
      <c r="I24" s="17"/>
      <c r="J24" s="17"/>
      <c r="K24" s="137" t="s">
        <v>96</v>
      </c>
      <c r="L24" s="17"/>
      <c r="M24" s="17"/>
      <c r="N24" s="17"/>
      <c r="O24" s="17"/>
      <c r="P24" s="17"/>
      <c r="Q24" s="17"/>
      <c r="R24" s="1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M24" s="27"/>
      <c r="AN24" s="27"/>
      <c r="AO24" s="27"/>
      <c r="AP24" s="27"/>
      <c r="AQ24" s="27"/>
    </row>
    <row r="25" spans="2:43" ht="69.75" customHeight="1">
      <c r="B25" s="35" t="s">
        <v>21</v>
      </c>
      <c r="C25" s="30"/>
      <c r="D25" s="36"/>
      <c r="E25" s="3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M25" s="27"/>
      <c r="AN25" s="27"/>
      <c r="AO25" s="27"/>
      <c r="AP25" s="27"/>
      <c r="AQ25" s="27"/>
    </row>
    <row r="26" spans="2:44" ht="24" customHeight="1">
      <c r="B26" s="38" t="s">
        <v>22</v>
      </c>
      <c r="C26" s="28"/>
      <c r="D26" s="27"/>
      <c r="E26" s="27"/>
      <c r="F26" s="27"/>
      <c r="H26" s="120" t="s">
        <v>23</v>
      </c>
      <c r="I26" s="120"/>
      <c r="J26" s="120"/>
      <c r="K26" s="120"/>
      <c r="N26" s="120" t="s">
        <v>24</v>
      </c>
      <c r="O26" s="120"/>
      <c r="P26" s="120"/>
      <c r="Q26" s="121"/>
      <c r="R26" s="121"/>
      <c r="X26" s="27"/>
      <c r="Y26" s="119"/>
      <c r="AE26" s="125"/>
      <c r="AF26" s="27"/>
      <c r="AM26" s="27"/>
      <c r="AN26" s="27"/>
      <c r="AO26" s="27"/>
      <c r="AP26" s="27"/>
      <c r="AQ26" s="27"/>
      <c r="AR26" s="27"/>
    </row>
    <row r="27" spans="2:44" ht="18.75" customHeight="1">
      <c r="B27" s="32" t="s">
        <v>25</v>
      </c>
      <c r="C27" s="39"/>
      <c r="D27" s="192"/>
      <c r="E27" s="41"/>
      <c r="F27" s="41"/>
      <c r="G27" s="194"/>
      <c r="H27" s="122" t="s">
        <v>26</v>
      </c>
      <c r="I27" s="129"/>
      <c r="J27" s="195"/>
      <c r="K27" s="124"/>
      <c r="M27" s="198"/>
      <c r="N27" s="123" t="s">
        <v>27</v>
      </c>
      <c r="O27" s="123"/>
      <c r="P27" s="200"/>
      <c r="Q27" s="124"/>
      <c r="R27" s="124"/>
      <c r="X27" s="40"/>
      <c r="Y27" s="119"/>
      <c r="AE27" s="125"/>
      <c r="AF27" s="126"/>
      <c r="AM27" s="126"/>
      <c r="AN27" s="126"/>
      <c r="AO27" s="27"/>
      <c r="AP27" s="27"/>
      <c r="AQ27" s="27"/>
      <c r="AR27" s="27"/>
    </row>
    <row r="28" spans="2:44" ht="18" customHeight="1">
      <c r="B28" s="162" t="str">
        <f>C9</f>
        <v>IQ3 80MP</v>
      </c>
      <c r="C28" s="163"/>
      <c r="D28" s="193" t="s">
        <v>28</v>
      </c>
      <c r="E28" s="164" t="str">
        <f>Q9</f>
        <v>Canon 5Ds/5Ds R</v>
      </c>
      <c r="F28" s="163"/>
      <c r="G28" s="194"/>
      <c r="H28" s="165" t="str">
        <f>C9</f>
        <v>IQ3 80MP</v>
      </c>
      <c r="I28" s="166"/>
      <c r="J28" s="196" t="s">
        <v>28</v>
      </c>
      <c r="K28" s="167" t="str">
        <f>Q9</f>
        <v>Canon 5Ds/5Ds R</v>
      </c>
      <c r="L28" s="168"/>
      <c r="M28" s="198"/>
      <c r="N28" s="169" t="str">
        <f>C9</f>
        <v>IQ3 80MP</v>
      </c>
      <c r="O28" s="170"/>
      <c r="P28" s="201" t="s">
        <v>28</v>
      </c>
      <c r="Q28" s="171" t="str">
        <f>Q9</f>
        <v>Canon 5Ds/5Ds R</v>
      </c>
      <c r="R28" s="170"/>
      <c r="X28" s="116"/>
      <c r="Y28" s="119"/>
      <c r="AE28" s="127"/>
      <c r="AF28" s="148"/>
      <c r="AM28" s="148"/>
      <c r="AN28" s="119"/>
      <c r="AO28" s="115"/>
      <c r="AP28" s="115"/>
      <c r="AQ28" s="115"/>
      <c r="AR28" s="27"/>
    </row>
    <row r="29" spans="2:44" ht="16.5" customHeight="1">
      <c r="B29" s="172" t="str">
        <f>CONCATENATE(ROUND(I18,0)," mm")</f>
        <v>150 mm</v>
      </c>
      <c r="C29" s="173"/>
      <c r="D29" s="193"/>
      <c r="E29" s="174" t="str">
        <f>CONCATENATE("",ROUND(F78,0)," mm")</f>
        <v>97 mm</v>
      </c>
      <c r="F29" s="175"/>
      <c r="G29" s="194"/>
      <c r="H29" s="176" t="str">
        <f>CONCATENATE(ROUND(D79,0)," megapixels")</f>
        <v>80 megapixels</v>
      </c>
      <c r="I29" s="177"/>
      <c r="J29" s="196"/>
      <c r="K29" s="178" t="str">
        <f>CONCATENATE("",ROUND(F79,0)," megapixels ")</f>
        <v>50 megapixels </v>
      </c>
      <c r="L29" s="179"/>
      <c r="M29" s="202"/>
      <c r="N29" s="180" t="str">
        <f>CONCATENATE("",ROUND(D80,0)," mb")</f>
        <v>481 mb</v>
      </c>
      <c r="O29" s="181"/>
      <c r="P29" s="201"/>
      <c r="Q29" s="180" t="str">
        <f>CONCATENATE("",ROUND(F80,0)," mb ")</f>
        <v>302 mb </v>
      </c>
      <c r="R29" s="181"/>
      <c r="X29" s="117"/>
      <c r="Y29" s="119"/>
      <c r="AE29" s="127"/>
      <c r="AF29" s="149"/>
      <c r="AM29" s="149"/>
      <c r="AN29" s="119"/>
      <c r="AO29" s="115"/>
      <c r="AP29" s="115"/>
      <c r="AQ29" s="115"/>
      <c r="AR29" s="27"/>
    </row>
    <row r="30" spans="2:44" ht="12.75" customHeight="1">
      <c r="B30" s="182" t="str">
        <f>IF(I22&gt;1,CONCATENATE("(",I22," shot stitch)"),"Single Shot")</f>
        <v>Single Shot</v>
      </c>
      <c r="C30" s="183"/>
      <c r="D30" s="193"/>
      <c r="E30" s="184" t="str">
        <f>IF(K22&gt;1,CONCATENATE("single shot"),"")</f>
        <v>single shot</v>
      </c>
      <c r="F30" s="185"/>
      <c r="G30" s="194"/>
      <c r="H30" s="186" t="str">
        <f>IF(I22&gt;1,CONCATENATE("(",I22," shot stitch)"),"Single Shot")</f>
        <v>Single Shot</v>
      </c>
      <c r="I30" s="187"/>
      <c r="J30" s="196"/>
      <c r="K30" s="188" t="str">
        <f>IF(K22&gt;1,CONCATENATE("single shot"),"")</f>
        <v>single shot</v>
      </c>
      <c r="L30" s="189"/>
      <c r="M30" s="198"/>
      <c r="N30" s="186" t="str">
        <f>IF(I22&gt;1,CONCATENATE("(",I22," shot stitch)"),"Single Shot")</f>
        <v>Single Shot</v>
      </c>
      <c r="O30" s="190"/>
      <c r="P30" s="201"/>
      <c r="Q30" s="191" t="str">
        <f>IF(K22&gt;1,CONCATENATE("single shot"),"")</f>
        <v>single shot</v>
      </c>
      <c r="R30" s="190"/>
      <c r="X30" s="118"/>
      <c r="Y30" s="119"/>
      <c r="AE30" s="127"/>
      <c r="AF30" s="128"/>
      <c r="AM30" s="128"/>
      <c r="AN30" s="119"/>
      <c r="AO30" s="115"/>
      <c r="AP30" s="115"/>
      <c r="AQ30" s="115"/>
      <c r="AR30" s="27"/>
    </row>
    <row r="31" spans="1:50" s="86" customFormat="1" ht="21" customHeight="1">
      <c r="A31" s="91"/>
      <c r="B31" s="92"/>
      <c r="C31" s="110"/>
      <c r="D31" s="88"/>
      <c r="E31" s="88"/>
      <c r="F31" s="93"/>
      <c r="G31" s="89"/>
      <c r="H31" s="110"/>
      <c r="I31" s="110"/>
      <c r="J31" s="197"/>
      <c r="K31" s="88"/>
      <c r="L31" s="88"/>
      <c r="M31" s="199"/>
      <c r="N31" s="93"/>
      <c r="O31" s="89"/>
      <c r="P31" s="89"/>
      <c r="Q31" s="89"/>
      <c r="R31" s="110"/>
      <c r="S31" s="110"/>
      <c r="T31" s="110"/>
      <c r="U31" s="125"/>
      <c r="V31" s="110"/>
      <c r="W31" s="88"/>
      <c r="X31" s="88"/>
      <c r="Y31" s="127"/>
      <c r="Z31" s="114"/>
      <c r="AA31" s="130"/>
      <c r="AB31" s="127"/>
      <c r="AC31" s="118"/>
      <c r="AD31" s="131"/>
      <c r="AE31" s="128"/>
      <c r="AF31" s="128"/>
      <c r="AG31" s="91"/>
      <c r="AH31" s="91"/>
      <c r="AI31" s="91"/>
      <c r="AJ31" s="91"/>
      <c r="AK31" s="91"/>
      <c r="AL31" s="91"/>
      <c r="AM31" s="128"/>
      <c r="AN31" s="128"/>
      <c r="AO31" s="90"/>
      <c r="AP31" s="90"/>
      <c r="AQ31" s="90"/>
      <c r="AR31" s="91"/>
      <c r="AS31" s="91"/>
      <c r="AT31" s="91"/>
      <c r="AU31" s="91"/>
      <c r="AV31" s="91"/>
      <c r="AW31" s="91"/>
      <c r="AX31" s="91"/>
    </row>
    <row r="32" spans="2:43" ht="40.5" customHeight="1">
      <c r="B32" s="16"/>
      <c r="C32" s="27"/>
      <c r="D32" s="152" t="str">
        <f>CONCATENATE("i.e. ",IF(D37&gt;1,CONCATENATE("a ",I18,"mm lens with a ",D13," using ",D37," shots (",D47," rows, ",D48," columns w/ ",D38," mm overlap)"),CONCATENATE("A ",I18," mm lens with a ",D13))," will show the same angle of view as a single shot from a ",E29," lens with a ",D14)</f>
        <v>i.e. A 150 mm lens with a IQ3 80MP will show the same angle of view as a single shot from a 97 mm lens with a Canon 5Ds/5Ds R</v>
      </c>
      <c r="E32" s="153"/>
      <c r="F32" s="153"/>
      <c r="G32" s="153"/>
      <c r="H32" s="10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25"/>
      <c r="Z32" s="125"/>
      <c r="AA32" s="125"/>
      <c r="AB32" s="125"/>
      <c r="AC32" s="125"/>
      <c r="AD32" s="125"/>
      <c r="AE32" s="125"/>
      <c r="AF32" s="125"/>
      <c r="AM32" s="125"/>
      <c r="AN32" s="125"/>
      <c r="AO32" s="27"/>
      <c r="AP32" s="27"/>
      <c r="AQ32" s="27"/>
    </row>
    <row r="33" spans="2:43" ht="19.5" customHeight="1">
      <c r="B33" s="16"/>
      <c r="C33" s="27"/>
      <c r="D33" s="108"/>
      <c r="E33" s="108"/>
      <c r="F33" s="108"/>
      <c r="G33" s="108"/>
      <c r="H33" s="108"/>
      <c r="I33" s="108"/>
      <c r="J33" s="108"/>
      <c r="K33" s="108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M33" s="27"/>
      <c r="AN33" s="27"/>
      <c r="AO33" s="27"/>
      <c r="AP33" s="27"/>
      <c r="AQ33" s="27"/>
    </row>
    <row r="34" spans="2:44" ht="19.5" customHeight="1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M34" s="104"/>
      <c r="AN34" s="104"/>
      <c r="AO34" s="104"/>
      <c r="AP34" s="104"/>
      <c r="AQ34" s="104"/>
      <c r="AR34" s="104"/>
    </row>
    <row r="35" spans="2:43" ht="19.5" customHeight="1" hidden="1">
      <c r="B35" s="42"/>
      <c r="C35" s="43"/>
      <c r="D35" s="44"/>
      <c r="E35" s="44"/>
      <c r="F35" s="44"/>
      <c r="G35" s="44"/>
      <c r="H35" s="44"/>
      <c r="I35" s="44"/>
      <c r="J35" s="44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3"/>
      <c r="Z35" s="43"/>
      <c r="AA35" s="43"/>
      <c r="AB35" s="43"/>
      <c r="AC35" s="43"/>
      <c r="AD35" s="43"/>
      <c r="AE35" s="43"/>
      <c r="AF35" s="43"/>
      <c r="AM35" s="43"/>
      <c r="AN35" s="43"/>
      <c r="AO35" s="43"/>
      <c r="AP35" s="43"/>
      <c r="AQ35" s="43"/>
    </row>
    <row r="36" spans="2:43" ht="19.5" customHeight="1" hidden="1">
      <c r="B36" s="45"/>
      <c r="C36" s="46"/>
      <c r="D36" s="47"/>
      <c r="E36" s="47"/>
      <c r="F36" s="47"/>
      <c r="G36" s="47"/>
      <c r="H36" s="47"/>
      <c r="I36" s="47"/>
      <c r="J36" s="4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  <c r="Y36" s="46"/>
      <c r="Z36" s="46"/>
      <c r="AA36" s="46"/>
      <c r="AB36" s="46"/>
      <c r="AC36" s="46"/>
      <c r="AD36" s="46"/>
      <c r="AE36" s="46"/>
      <c r="AF36" s="46"/>
      <c r="AM36" s="46"/>
      <c r="AN36" s="46"/>
      <c r="AO36" s="46"/>
      <c r="AP36" s="46"/>
      <c r="AQ36" s="46"/>
    </row>
    <row r="37" spans="2:43" ht="19.5" customHeight="1" hidden="1">
      <c r="B37" s="48" t="str">
        <f>CONCATENATE("# of ",D13," frames")</f>
        <v># of IQ3 80MP frames</v>
      </c>
      <c r="C37" s="46"/>
      <c r="D37" s="49">
        <f>I22</f>
        <v>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M37" s="46"/>
      <c r="AN37" s="46"/>
      <c r="AO37" s="46"/>
      <c r="AP37" s="46"/>
      <c r="AQ37" s="46"/>
    </row>
    <row r="38" spans="2:43" ht="19.5" customHeight="1" hidden="1">
      <c r="B38" s="48" t="s">
        <v>29</v>
      </c>
      <c r="C38" s="46"/>
      <c r="D38" s="103">
        <f>I23</f>
        <v>12</v>
      </c>
      <c r="E38" s="20"/>
      <c r="F38" s="50"/>
      <c r="G38" s="50"/>
      <c r="H38" s="50"/>
      <c r="I38" s="5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M38" s="20"/>
      <c r="AN38" s="20"/>
      <c r="AO38" s="20"/>
      <c r="AP38" s="20"/>
      <c r="AQ38" s="20"/>
    </row>
    <row r="39" spans="2:43" ht="19.5" customHeight="1" hidden="1">
      <c r="B39" s="5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M39" s="20"/>
      <c r="AN39" s="20"/>
      <c r="AO39" s="20"/>
      <c r="AP39" s="20"/>
      <c r="AQ39" s="20"/>
    </row>
    <row r="40" spans="2:43" ht="19.5" customHeight="1" hidden="1">
      <c r="B40" s="52"/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56"/>
      <c r="N40" s="55"/>
      <c r="O40" s="56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M40" s="55"/>
      <c r="AN40" s="55"/>
      <c r="AO40" s="55"/>
      <c r="AP40" s="55"/>
      <c r="AQ40" s="55"/>
    </row>
    <row r="41" spans="2:43" ht="19.5" customHeight="1" hidden="1">
      <c r="B41" s="57"/>
      <c r="C41" s="19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M41" s="59"/>
      <c r="AN41" s="59"/>
      <c r="AO41" s="59"/>
      <c r="AP41" s="59"/>
      <c r="AQ41" s="59"/>
    </row>
    <row r="42" spans="2:44" ht="19.5" customHeight="1" hidden="1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M42" s="61"/>
      <c r="AN42" s="61"/>
      <c r="AO42" s="61"/>
      <c r="AP42" s="61"/>
      <c r="AQ42" s="61"/>
      <c r="AR42" s="61"/>
    </row>
    <row r="43" spans="2:50" s="66" customFormat="1" ht="19.5" customHeight="1" hidden="1">
      <c r="B43" s="63"/>
      <c r="C43" s="64"/>
      <c r="D43" s="65" t="s">
        <v>71</v>
      </c>
      <c r="E43" s="65" t="s">
        <v>71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</row>
    <row r="44" spans="2:55" ht="19.5" customHeight="1" hidden="1">
      <c r="B44" s="60"/>
      <c r="C44" s="61"/>
      <c r="D44" s="61" t="s">
        <v>60</v>
      </c>
      <c r="E44" s="61" t="s">
        <v>94</v>
      </c>
      <c r="F44" s="61" t="s">
        <v>109</v>
      </c>
      <c r="G44" s="61" t="s">
        <v>110</v>
      </c>
      <c r="H44" s="61" t="s">
        <v>111</v>
      </c>
      <c r="I44" s="61" t="s">
        <v>78</v>
      </c>
      <c r="J44" s="61" t="s">
        <v>77</v>
      </c>
      <c r="K44" s="61" t="s">
        <v>76</v>
      </c>
      <c r="L44" s="61" t="s">
        <v>61</v>
      </c>
      <c r="M44" s="61" t="s">
        <v>69</v>
      </c>
      <c r="N44" s="61" t="s">
        <v>108</v>
      </c>
      <c r="O44" s="61" t="s">
        <v>70</v>
      </c>
      <c r="P44" s="61" t="s">
        <v>1</v>
      </c>
      <c r="Q44" s="61" t="s">
        <v>3</v>
      </c>
      <c r="R44" s="61" t="s">
        <v>6</v>
      </c>
      <c r="S44" s="61" t="s">
        <v>8</v>
      </c>
      <c r="T44" s="61" t="s">
        <v>5</v>
      </c>
      <c r="U44" s="61" t="s">
        <v>9</v>
      </c>
      <c r="V44" s="61" t="s">
        <v>10</v>
      </c>
      <c r="W44" s="61" t="s">
        <v>81</v>
      </c>
      <c r="X44" s="61" t="s">
        <v>80</v>
      </c>
      <c r="Y44" s="61" t="s">
        <v>107</v>
      </c>
      <c r="Z44" s="61" t="s">
        <v>79</v>
      </c>
      <c r="AA44" s="61" t="s">
        <v>64</v>
      </c>
      <c r="AB44" s="65" t="s">
        <v>68</v>
      </c>
      <c r="AC44" s="65" t="s">
        <v>67</v>
      </c>
      <c r="AD44" s="65" t="s">
        <v>65</v>
      </c>
      <c r="AE44" s="65" t="s">
        <v>66</v>
      </c>
      <c r="AF44" s="61" t="s">
        <v>62</v>
      </c>
      <c r="AG44" s="61" t="s">
        <v>63</v>
      </c>
      <c r="AH44" s="61" t="s">
        <v>2</v>
      </c>
      <c r="AI44" s="61" t="s">
        <v>7</v>
      </c>
      <c r="AJ44" s="61" t="s">
        <v>4</v>
      </c>
      <c r="AK44" s="61" t="s">
        <v>82</v>
      </c>
      <c r="AL44" s="61" t="s">
        <v>84</v>
      </c>
      <c r="AM44" s="61" t="s">
        <v>85</v>
      </c>
      <c r="AN44" s="61" t="s">
        <v>86</v>
      </c>
      <c r="AO44" s="61" t="s">
        <v>83</v>
      </c>
      <c r="AP44" s="61" t="s">
        <v>87</v>
      </c>
      <c r="AQ44" s="61" t="s">
        <v>88</v>
      </c>
      <c r="AR44" s="61" t="s">
        <v>89</v>
      </c>
      <c r="AS44" s="61" t="s">
        <v>91</v>
      </c>
      <c r="AT44" s="61" t="s">
        <v>90</v>
      </c>
      <c r="AU44" s="61" t="s">
        <v>92</v>
      </c>
      <c r="AV44" s="61" t="s">
        <v>93</v>
      </c>
      <c r="AW44" s="61" t="s">
        <v>102</v>
      </c>
      <c r="AX44" s="61" t="s">
        <v>103</v>
      </c>
      <c r="AY44" s="61" t="s">
        <v>106</v>
      </c>
      <c r="AZ44" s="61" t="s">
        <v>105</v>
      </c>
      <c r="BA44" s="61" t="s">
        <v>113</v>
      </c>
      <c r="BB44" s="61" t="s">
        <v>112</v>
      </c>
      <c r="BC44" s="61" t="s">
        <v>104</v>
      </c>
    </row>
    <row r="45" spans="2:55" ht="19.5" customHeight="1" hidden="1">
      <c r="B45" s="60" t="s">
        <v>30</v>
      </c>
      <c r="C45" s="61"/>
      <c r="D45" s="61">
        <f>D38</f>
        <v>12</v>
      </c>
      <c r="E45" s="61">
        <f>D45</f>
        <v>12</v>
      </c>
      <c r="F45" s="61">
        <f>E45</f>
        <v>12</v>
      </c>
      <c r="G45" s="61">
        <f>F45</f>
        <v>12</v>
      </c>
      <c r="H45" s="61">
        <f>G45</f>
        <v>12</v>
      </c>
      <c r="I45" s="61">
        <f aca="true" t="shared" si="0" ref="I45:BC45">H45</f>
        <v>12</v>
      </c>
      <c r="J45" s="61">
        <f t="shared" si="0"/>
        <v>12</v>
      </c>
      <c r="K45" s="61">
        <f t="shared" si="0"/>
        <v>12</v>
      </c>
      <c r="L45" s="61">
        <f t="shared" si="0"/>
        <v>12</v>
      </c>
      <c r="M45" s="61">
        <f t="shared" si="0"/>
        <v>12</v>
      </c>
      <c r="N45" s="61">
        <f t="shared" si="0"/>
        <v>12</v>
      </c>
      <c r="O45" s="61">
        <f t="shared" si="0"/>
        <v>12</v>
      </c>
      <c r="P45" s="61">
        <f t="shared" si="0"/>
        <v>12</v>
      </c>
      <c r="Q45" s="61">
        <f t="shared" si="0"/>
        <v>12</v>
      </c>
      <c r="R45" s="61">
        <f t="shared" si="0"/>
        <v>12</v>
      </c>
      <c r="S45" s="61">
        <f t="shared" si="0"/>
        <v>12</v>
      </c>
      <c r="T45" s="61">
        <f t="shared" si="0"/>
        <v>12</v>
      </c>
      <c r="U45" s="61">
        <f t="shared" si="0"/>
        <v>12</v>
      </c>
      <c r="V45" s="61">
        <f t="shared" si="0"/>
        <v>12</v>
      </c>
      <c r="W45" s="61">
        <f t="shared" si="0"/>
        <v>12</v>
      </c>
      <c r="X45" s="61">
        <f t="shared" si="0"/>
        <v>12</v>
      </c>
      <c r="Y45" s="61">
        <f t="shared" si="0"/>
        <v>12</v>
      </c>
      <c r="Z45" s="61">
        <f t="shared" si="0"/>
        <v>12</v>
      </c>
      <c r="AA45" s="61">
        <f t="shared" si="0"/>
        <v>12</v>
      </c>
      <c r="AB45" s="61">
        <f t="shared" si="0"/>
        <v>12</v>
      </c>
      <c r="AC45" s="61">
        <f t="shared" si="0"/>
        <v>12</v>
      </c>
      <c r="AD45" s="61">
        <f t="shared" si="0"/>
        <v>12</v>
      </c>
      <c r="AE45" s="61">
        <f t="shared" si="0"/>
        <v>12</v>
      </c>
      <c r="AF45" s="61">
        <f t="shared" si="0"/>
        <v>12</v>
      </c>
      <c r="AG45" s="61">
        <f t="shared" si="0"/>
        <v>12</v>
      </c>
      <c r="AH45" s="61">
        <f t="shared" si="0"/>
        <v>12</v>
      </c>
      <c r="AI45" s="61">
        <f t="shared" si="0"/>
        <v>12</v>
      </c>
      <c r="AJ45" s="61">
        <f t="shared" si="0"/>
        <v>12</v>
      </c>
      <c r="AK45" s="61">
        <f t="shared" si="0"/>
        <v>12</v>
      </c>
      <c r="AL45" s="61">
        <f t="shared" si="0"/>
        <v>12</v>
      </c>
      <c r="AM45" s="61">
        <f t="shared" si="0"/>
        <v>12</v>
      </c>
      <c r="AN45" s="61">
        <f t="shared" si="0"/>
        <v>12</v>
      </c>
      <c r="AO45" s="61">
        <f t="shared" si="0"/>
        <v>12</v>
      </c>
      <c r="AP45" s="61">
        <f t="shared" si="0"/>
        <v>12</v>
      </c>
      <c r="AQ45" s="61">
        <f t="shared" si="0"/>
        <v>12</v>
      </c>
      <c r="AR45" s="61">
        <f t="shared" si="0"/>
        <v>12</v>
      </c>
      <c r="AS45" s="61">
        <f t="shared" si="0"/>
        <v>12</v>
      </c>
      <c r="AT45" s="61">
        <f t="shared" si="0"/>
        <v>12</v>
      </c>
      <c r="AU45" s="61">
        <f t="shared" si="0"/>
        <v>12</v>
      </c>
      <c r="AV45" s="61">
        <f t="shared" si="0"/>
        <v>12</v>
      </c>
      <c r="AW45" s="61">
        <f t="shared" si="0"/>
        <v>12</v>
      </c>
      <c r="AX45" s="61">
        <f t="shared" si="0"/>
        <v>12</v>
      </c>
      <c r="AY45" s="61">
        <f t="shared" si="0"/>
        <v>12</v>
      </c>
      <c r="AZ45" s="61">
        <f t="shared" si="0"/>
        <v>12</v>
      </c>
      <c r="BA45" s="61">
        <f t="shared" si="0"/>
        <v>12</v>
      </c>
      <c r="BB45" s="61">
        <f t="shared" si="0"/>
        <v>12</v>
      </c>
      <c r="BC45" s="61">
        <f t="shared" si="0"/>
        <v>12</v>
      </c>
    </row>
    <row r="46" spans="2:55" ht="19.5" customHeight="1" hidden="1">
      <c r="B46" s="67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</row>
    <row r="47" spans="2:55" ht="19.5" customHeight="1" hidden="1">
      <c r="B47" s="60" t="s">
        <v>31</v>
      </c>
      <c r="C47" s="61"/>
      <c r="D47" s="61">
        <f>ROUNDUP(($D$37/3),0)</f>
        <v>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</row>
    <row r="48" spans="2:55" ht="19.5" customHeight="1" hidden="1">
      <c r="B48" s="60" t="s">
        <v>32</v>
      </c>
      <c r="C48" s="61"/>
      <c r="D48" s="61">
        <f>D37-2*ROUNDDOWN(D37/4,0)-2*ROUNDDOWN(D37/9,0)</f>
        <v>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</row>
    <row r="49" spans="2:55" ht="19.5" customHeight="1" hidden="1">
      <c r="B49" s="67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</row>
    <row r="50" spans="2:55" ht="19.5" customHeight="1" hidden="1">
      <c r="B50" s="68" t="s">
        <v>33</v>
      </c>
      <c r="C50" s="69"/>
      <c r="D50" s="69">
        <f>8*25.4</f>
        <v>203.2</v>
      </c>
      <c r="E50" s="69">
        <f>4*25.4</f>
        <v>101.6</v>
      </c>
      <c r="F50" s="69">
        <v>40.4</v>
      </c>
      <c r="G50" s="69">
        <v>40.4</v>
      </c>
      <c r="H50" s="69">
        <v>33</v>
      </c>
      <c r="I50" s="69">
        <v>40.4</v>
      </c>
      <c r="J50" s="69">
        <v>40.4</v>
      </c>
      <c r="K50" s="69">
        <v>33</v>
      </c>
      <c r="L50" s="69">
        <v>40.4</v>
      </c>
      <c r="M50" s="69">
        <v>40.4</v>
      </c>
      <c r="N50" s="69">
        <v>33</v>
      </c>
      <c r="O50" s="69">
        <v>32.9</v>
      </c>
      <c r="P50" s="69">
        <v>40.4</v>
      </c>
      <c r="Q50" s="69">
        <v>36.8</v>
      </c>
      <c r="R50" s="69">
        <v>32.9</v>
      </c>
      <c r="S50" s="69">
        <v>33.1</v>
      </c>
      <c r="T50" s="69">
        <v>36.7</v>
      </c>
      <c r="U50" s="69">
        <v>33.1</v>
      </c>
      <c r="V50" s="69">
        <v>36.9</v>
      </c>
      <c r="W50" s="69">
        <v>40.3</v>
      </c>
      <c r="X50" s="69">
        <v>40.4</v>
      </c>
      <c r="Y50" s="69">
        <v>33</v>
      </c>
      <c r="Z50" s="69">
        <v>32.9</v>
      </c>
      <c r="AA50" s="69">
        <v>40.4</v>
      </c>
      <c r="AB50" s="69">
        <v>36</v>
      </c>
      <c r="AC50" s="69">
        <v>36</v>
      </c>
      <c r="AD50" s="69">
        <v>33</v>
      </c>
      <c r="AE50" s="69">
        <v>36</v>
      </c>
      <c r="AF50" s="69">
        <v>40.3</v>
      </c>
      <c r="AG50" s="69">
        <v>36</v>
      </c>
      <c r="AH50" s="69">
        <v>36</v>
      </c>
      <c r="AI50" s="69">
        <v>33</v>
      </c>
      <c r="AJ50" s="69">
        <v>36</v>
      </c>
      <c r="AK50" s="69">
        <v>36.7</v>
      </c>
      <c r="AL50" s="69">
        <v>40.2</v>
      </c>
      <c r="AM50" s="69">
        <v>36.7</v>
      </c>
      <c r="AN50" s="69">
        <v>36.7</v>
      </c>
      <c r="AO50" s="69">
        <v>32.9</v>
      </c>
      <c r="AP50" s="69">
        <v>32.9</v>
      </c>
      <c r="AQ50" s="69">
        <v>36.7</v>
      </c>
      <c r="AR50" s="69">
        <v>40.2</v>
      </c>
      <c r="AS50" s="69">
        <v>36.7</v>
      </c>
      <c r="AT50" s="69">
        <v>36.7</v>
      </c>
      <c r="AU50" s="69">
        <v>32.9</v>
      </c>
      <c r="AV50" s="69">
        <v>33.1</v>
      </c>
      <c r="AW50" s="69">
        <v>30</v>
      </c>
      <c r="AX50" s="69">
        <v>30</v>
      </c>
      <c r="AY50" s="69">
        <v>33</v>
      </c>
      <c r="AZ50" s="69">
        <v>32.8</v>
      </c>
      <c r="BA50" s="69">
        <v>24</v>
      </c>
      <c r="BB50" s="69">
        <v>24</v>
      </c>
      <c r="BC50" s="69">
        <v>14.9</v>
      </c>
    </row>
    <row r="51" spans="2:55" ht="19.5" customHeight="1" hidden="1">
      <c r="B51" s="68" t="s">
        <v>34</v>
      </c>
      <c r="C51" s="69"/>
      <c r="D51" s="69">
        <f>10*25.4</f>
        <v>254</v>
      </c>
      <c r="E51" s="69">
        <f>5*25.4</f>
        <v>127</v>
      </c>
      <c r="F51" s="69">
        <v>53.7</v>
      </c>
      <c r="G51" s="69">
        <v>53.9</v>
      </c>
      <c r="H51" s="69">
        <v>44</v>
      </c>
      <c r="I51" s="69">
        <v>53.7</v>
      </c>
      <c r="J51" s="69">
        <v>53.9</v>
      </c>
      <c r="K51" s="69">
        <v>44</v>
      </c>
      <c r="L51" s="69">
        <v>53.7</v>
      </c>
      <c r="M51" s="69">
        <v>53.9</v>
      </c>
      <c r="N51" s="69">
        <v>44</v>
      </c>
      <c r="O51" s="69">
        <v>43.9</v>
      </c>
      <c r="P51" s="69">
        <v>53.9</v>
      </c>
      <c r="Q51" s="69">
        <v>49.1</v>
      </c>
      <c r="R51" s="69">
        <v>43.9</v>
      </c>
      <c r="S51" s="69">
        <v>44.2</v>
      </c>
      <c r="T51" s="69">
        <v>48.9</v>
      </c>
      <c r="U51" s="69">
        <v>44.2</v>
      </c>
      <c r="V51" s="69">
        <v>36.9</v>
      </c>
      <c r="W51" s="69">
        <v>53.7</v>
      </c>
      <c r="X51" s="69">
        <v>53.9</v>
      </c>
      <c r="Y51" s="69">
        <v>44</v>
      </c>
      <c r="Z51" s="69">
        <v>43.9</v>
      </c>
      <c r="AA51" s="69">
        <v>53.7</v>
      </c>
      <c r="AB51" s="69">
        <v>56</v>
      </c>
      <c r="AC51" s="69">
        <v>48</v>
      </c>
      <c r="AD51" s="69">
        <v>44</v>
      </c>
      <c r="AE51" s="69">
        <v>48</v>
      </c>
      <c r="AF51" s="69">
        <v>53.7</v>
      </c>
      <c r="AG51" s="69">
        <v>56</v>
      </c>
      <c r="AH51" s="69">
        <v>48</v>
      </c>
      <c r="AI51" s="69">
        <v>44</v>
      </c>
      <c r="AJ51" s="69">
        <v>48</v>
      </c>
      <c r="AK51" s="69">
        <v>49.1</v>
      </c>
      <c r="AL51" s="69">
        <v>53.7</v>
      </c>
      <c r="AM51" s="69">
        <v>49.1</v>
      </c>
      <c r="AN51" s="69">
        <v>49.1</v>
      </c>
      <c r="AO51" s="69">
        <v>43.8</v>
      </c>
      <c r="AP51" s="69">
        <v>43.8</v>
      </c>
      <c r="AQ51" s="69">
        <v>49.1</v>
      </c>
      <c r="AR51" s="69">
        <v>53.7</v>
      </c>
      <c r="AS51" s="69">
        <v>49.1</v>
      </c>
      <c r="AT51" s="69">
        <v>49.1</v>
      </c>
      <c r="AU51" s="69">
        <v>43.8</v>
      </c>
      <c r="AV51" s="69">
        <v>44.2</v>
      </c>
      <c r="AW51" s="69">
        <v>45</v>
      </c>
      <c r="AX51" s="69">
        <v>45</v>
      </c>
      <c r="AY51" s="69">
        <v>44</v>
      </c>
      <c r="AZ51" s="69">
        <v>43.8</v>
      </c>
      <c r="BA51" s="69">
        <v>36</v>
      </c>
      <c r="BB51" s="69">
        <v>36</v>
      </c>
      <c r="BC51" s="69">
        <v>22.3</v>
      </c>
    </row>
    <row r="52" spans="2:55" ht="19.5" customHeight="1" hidden="1">
      <c r="B52" s="68" t="s">
        <v>35</v>
      </c>
      <c r="C52" s="61"/>
      <c r="D52" s="61">
        <v>16</v>
      </c>
      <c r="E52" s="61">
        <v>16</v>
      </c>
      <c r="F52" s="61">
        <v>5.2</v>
      </c>
      <c r="G52" s="61">
        <v>6</v>
      </c>
      <c r="H52" s="61">
        <v>5.3</v>
      </c>
      <c r="I52" s="61">
        <v>5.2</v>
      </c>
      <c r="J52" s="61">
        <v>6</v>
      </c>
      <c r="K52" s="61">
        <v>5.3</v>
      </c>
      <c r="L52" s="61">
        <v>5.2</v>
      </c>
      <c r="M52" s="61">
        <v>6</v>
      </c>
      <c r="N52" s="61">
        <v>5.3</v>
      </c>
      <c r="O52" s="61">
        <v>6</v>
      </c>
      <c r="P52" s="61">
        <v>6</v>
      </c>
      <c r="Q52" s="61">
        <v>6.8</v>
      </c>
      <c r="R52" s="61">
        <v>6</v>
      </c>
      <c r="S52" s="61">
        <v>6.8</v>
      </c>
      <c r="T52" s="61">
        <v>9</v>
      </c>
      <c r="U52" s="61">
        <v>9</v>
      </c>
      <c r="V52" s="61">
        <v>9</v>
      </c>
      <c r="W52" s="61">
        <v>5.2</v>
      </c>
      <c r="X52" s="61">
        <v>6</v>
      </c>
      <c r="Y52" s="61">
        <v>6</v>
      </c>
      <c r="Z52" s="61">
        <v>6</v>
      </c>
      <c r="AA52" s="61">
        <v>5.2</v>
      </c>
      <c r="AB52" s="61">
        <v>6</v>
      </c>
      <c r="AC52" s="61">
        <v>7.2</v>
      </c>
      <c r="AD52" s="61">
        <v>7.2</v>
      </c>
      <c r="AE52" s="61">
        <v>9</v>
      </c>
      <c r="AF52" s="61">
        <v>5.2</v>
      </c>
      <c r="AG52" s="61">
        <v>6</v>
      </c>
      <c r="AH52" s="61">
        <v>7.2</v>
      </c>
      <c r="AI52" s="61">
        <v>7.2</v>
      </c>
      <c r="AJ52" s="61">
        <v>9</v>
      </c>
      <c r="AK52" s="61">
        <v>6</v>
      </c>
      <c r="AL52" s="61">
        <v>6</v>
      </c>
      <c r="AM52" s="61">
        <v>6</v>
      </c>
      <c r="AN52" s="61">
        <v>6</v>
      </c>
      <c r="AO52" s="61">
        <v>5.3</v>
      </c>
      <c r="AP52" s="61">
        <v>6</v>
      </c>
      <c r="AQ52" s="61">
        <v>6</v>
      </c>
      <c r="AR52" s="61">
        <v>6</v>
      </c>
      <c r="AS52" s="61">
        <v>6</v>
      </c>
      <c r="AT52" s="61">
        <v>6</v>
      </c>
      <c r="AU52" s="61">
        <v>6</v>
      </c>
      <c r="AV52" s="61">
        <v>6.8</v>
      </c>
      <c r="AW52" s="61">
        <v>6</v>
      </c>
      <c r="AX52" s="61">
        <v>6</v>
      </c>
      <c r="AY52" s="61">
        <v>6</v>
      </c>
      <c r="AZ52" s="61">
        <v>5.3</v>
      </c>
      <c r="BA52" s="61">
        <v>6.4</v>
      </c>
      <c r="BB52" s="61">
        <v>4.14</v>
      </c>
      <c r="BC52" s="61">
        <v>4.3</v>
      </c>
    </row>
    <row r="53" spans="2:55" ht="19.5" customHeight="1" hidden="1">
      <c r="B53" s="6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</row>
    <row r="54" spans="2:55" ht="19.5" customHeight="1" hidden="1">
      <c r="B54" s="60" t="s">
        <v>36</v>
      </c>
      <c r="C54" s="61"/>
      <c r="D54" s="61">
        <f aca="true" t="shared" si="1" ref="D54:AI54">D50*(D15&lt;&gt;0)</f>
        <v>0</v>
      </c>
      <c r="E54" s="61">
        <f t="shared" si="1"/>
        <v>0</v>
      </c>
      <c r="F54" s="61">
        <f t="shared" si="1"/>
        <v>40.4</v>
      </c>
      <c r="G54" s="61">
        <f t="shared" si="1"/>
        <v>0</v>
      </c>
      <c r="H54" s="61">
        <f t="shared" si="1"/>
        <v>0</v>
      </c>
      <c r="I54" s="61">
        <f t="shared" si="1"/>
        <v>0</v>
      </c>
      <c r="J54" s="61">
        <f t="shared" si="1"/>
        <v>0</v>
      </c>
      <c r="K54" s="61">
        <f t="shared" si="1"/>
        <v>0</v>
      </c>
      <c r="L54" s="61">
        <f t="shared" si="1"/>
        <v>0</v>
      </c>
      <c r="M54" s="61">
        <f t="shared" si="1"/>
        <v>0</v>
      </c>
      <c r="N54" s="61">
        <f t="shared" si="1"/>
        <v>0</v>
      </c>
      <c r="O54" s="61">
        <f t="shared" si="1"/>
        <v>0</v>
      </c>
      <c r="P54" s="61">
        <f t="shared" si="1"/>
        <v>0</v>
      </c>
      <c r="Q54" s="61">
        <f t="shared" si="1"/>
        <v>0</v>
      </c>
      <c r="R54" s="61">
        <f t="shared" si="1"/>
        <v>0</v>
      </c>
      <c r="S54" s="61">
        <f t="shared" si="1"/>
        <v>0</v>
      </c>
      <c r="T54" s="61">
        <f t="shared" si="1"/>
        <v>0</v>
      </c>
      <c r="U54" s="61">
        <f t="shared" si="1"/>
        <v>0</v>
      </c>
      <c r="V54" s="61">
        <f t="shared" si="1"/>
        <v>0</v>
      </c>
      <c r="W54" s="61">
        <f t="shared" si="1"/>
        <v>0</v>
      </c>
      <c r="X54" s="61">
        <f t="shared" si="1"/>
        <v>0</v>
      </c>
      <c r="Y54" s="61">
        <f t="shared" si="1"/>
        <v>0</v>
      </c>
      <c r="Z54" s="61">
        <f t="shared" si="1"/>
        <v>0</v>
      </c>
      <c r="AA54" s="61">
        <f t="shared" si="1"/>
        <v>0</v>
      </c>
      <c r="AB54" s="61">
        <f t="shared" si="1"/>
        <v>0</v>
      </c>
      <c r="AC54" s="61">
        <f t="shared" si="1"/>
        <v>0</v>
      </c>
      <c r="AD54" s="61">
        <f t="shared" si="1"/>
        <v>0</v>
      </c>
      <c r="AE54" s="61">
        <f t="shared" si="1"/>
        <v>0</v>
      </c>
      <c r="AF54" s="61">
        <f t="shared" si="1"/>
        <v>0</v>
      </c>
      <c r="AG54" s="61">
        <f t="shared" si="1"/>
        <v>0</v>
      </c>
      <c r="AH54" s="61">
        <f t="shared" si="1"/>
        <v>0</v>
      </c>
      <c r="AI54" s="61">
        <f t="shared" si="1"/>
        <v>0</v>
      </c>
      <c r="AJ54" s="61">
        <f aca="true" t="shared" si="2" ref="AJ54:BC54">AJ50*(AJ15&lt;&gt;0)</f>
        <v>0</v>
      </c>
      <c r="AK54" s="61">
        <f t="shared" si="2"/>
        <v>0</v>
      </c>
      <c r="AL54" s="61">
        <f t="shared" si="2"/>
        <v>0</v>
      </c>
      <c r="AM54" s="61">
        <f t="shared" si="2"/>
        <v>0</v>
      </c>
      <c r="AN54" s="61">
        <f t="shared" si="2"/>
        <v>0</v>
      </c>
      <c r="AO54" s="61">
        <f t="shared" si="2"/>
        <v>0</v>
      </c>
      <c r="AP54" s="61">
        <f t="shared" si="2"/>
        <v>0</v>
      </c>
      <c r="AQ54" s="61">
        <f t="shared" si="2"/>
        <v>0</v>
      </c>
      <c r="AR54" s="61">
        <f t="shared" si="2"/>
        <v>0</v>
      </c>
      <c r="AS54" s="61">
        <f t="shared" si="2"/>
        <v>0</v>
      </c>
      <c r="AT54" s="61">
        <f t="shared" si="2"/>
        <v>0</v>
      </c>
      <c r="AU54" s="61">
        <f t="shared" si="2"/>
        <v>0</v>
      </c>
      <c r="AV54" s="61">
        <f t="shared" si="2"/>
        <v>0</v>
      </c>
      <c r="AW54" s="61">
        <f t="shared" si="2"/>
        <v>0</v>
      </c>
      <c r="AX54" s="61">
        <f t="shared" si="2"/>
        <v>0</v>
      </c>
      <c r="AY54" s="61">
        <f t="shared" si="2"/>
        <v>0</v>
      </c>
      <c r="AZ54" s="61">
        <f t="shared" si="2"/>
        <v>0</v>
      </c>
      <c r="BA54" s="61">
        <f t="shared" si="2"/>
        <v>0</v>
      </c>
      <c r="BB54" s="61">
        <f t="shared" si="2"/>
        <v>0</v>
      </c>
      <c r="BC54" s="61">
        <f t="shared" si="2"/>
        <v>0</v>
      </c>
    </row>
    <row r="55" spans="2:55" ht="19.5" customHeight="1" hidden="1">
      <c r="B55" s="60" t="s">
        <v>37</v>
      </c>
      <c r="C55" s="61"/>
      <c r="D55" s="61">
        <f aca="true" t="shared" si="3" ref="D55:AI55">D51*(D15&lt;&gt;0)</f>
        <v>0</v>
      </c>
      <c r="E55" s="61">
        <f t="shared" si="3"/>
        <v>0</v>
      </c>
      <c r="F55" s="61">
        <f t="shared" si="3"/>
        <v>53.7</v>
      </c>
      <c r="G55" s="61">
        <f t="shared" si="3"/>
        <v>0</v>
      </c>
      <c r="H55" s="61">
        <f t="shared" si="3"/>
        <v>0</v>
      </c>
      <c r="I55" s="61">
        <f t="shared" si="3"/>
        <v>0</v>
      </c>
      <c r="J55" s="61">
        <f t="shared" si="3"/>
        <v>0</v>
      </c>
      <c r="K55" s="61">
        <f t="shared" si="3"/>
        <v>0</v>
      </c>
      <c r="L55" s="61">
        <f t="shared" si="3"/>
        <v>0</v>
      </c>
      <c r="M55" s="61">
        <f t="shared" si="3"/>
        <v>0</v>
      </c>
      <c r="N55" s="61">
        <f t="shared" si="3"/>
        <v>0</v>
      </c>
      <c r="O55" s="61">
        <f t="shared" si="3"/>
        <v>0</v>
      </c>
      <c r="P55" s="61">
        <f t="shared" si="3"/>
        <v>0</v>
      </c>
      <c r="Q55" s="61">
        <f t="shared" si="3"/>
        <v>0</v>
      </c>
      <c r="R55" s="61">
        <f t="shared" si="3"/>
        <v>0</v>
      </c>
      <c r="S55" s="61">
        <f t="shared" si="3"/>
        <v>0</v>
      </c>
      <c r="T55" s="61">
        <f t="shared" si="3"/>
        <v>0</v>
      </c>
      <c r="U55" s="61">
        <f t="shared" si="3"/>
        <v>0</v>
      </c>
      <c r="V55" s="61">
        <f t="shared" si="3"/>
        <v>0</v>
      </c>
      <c r="W55" s="61">
        <f t="shared" si="3"/>
        <v>0</v>
      </c>
      <c r="X55" s="61">
        <f t="shared" si="3"/>
        <v>0</v>
      </c>
      <c r="Y55" s="61">
        <f t="shared" si="3"/>
        <v>0</v>
      </c>
      <c r="Z55" s="61">
        <f t="shared" si="3"/>
        <v>0</v>
      </c>
      <c r="AA55" s="61">
        <f t="shared" si="3"/>
        <v>0</v>
      </c>
      <c r="AB55" s="61">
        <f t="shared" si="3"/>
        <v>0</v>
      </c>
      <c r="AC55" s="61">
        <f t="shared" si="3"/>
        <v>0</v>
      </c>
      <c r="AD55" s="61">
        <f t="shared" si="3"/>
        <v>0</v>
      </c>
      <c r="AE55" s="61">
        <f t="shared" si="3"/>
        <v>0</v>
      </c>
      <c r="AF55" s="61">
        <f t="shared" si="3"/>
        <v>0</v>
      </c>
      <c r="AG55" s="61">
        <f t="shared" si="3"/>
        <v>0</v>
      </c>
      <c r="AH55" s="61">
        <f t="shared" si="3"/>
        <v>0</v>
      </c>
      <c r="AI55" s="61">
        <f t="shared" si="3"/>
        <v>0</v>
      </c>
      <c r="AJ55" s="61">
        <f aca="true" t="shared" si="4" ref="AJ55:BC55">AJ51*(AJ15&lt;&gt;0)</f>
        <v>0</v>
      </c>
      <c r="AK55" s="61">
        <f t="shared" si="4"/>
        <v>0</v>
      </c>
      <c r="AL55" s="61">
        <f t="shared" si="4"/>
        <v>0</v>
      </c>
      <c r="AM55" s="61">
        <f t="shared" si="4"/>
        <v>0</v>
      </c>
      <c r="AN55" s="61">
        <f t="shared" si="4"/>
        <v>0</v>
      </c>
      <c r="AO55" s="61">
        <f t="shared" si="4"/>
        <v>0</v>
      </c>
      <c r="AP55" s="61">
        <f t="shared" si="4"/>
        <v>0</v>
      </c>
      <c r="AQ55" s="61">
        <f t="shared" si="4"/>
        <v>0</v>
      </c>
      <c r="AR55" s="61">
        <f t="shared" si="4"/>
        <v>0</v>
      </c>
      <c r="AS55" s="61">
        <f t="shared" si="4"/>
        <v>0</v>
      </c>
      <c r="AT55" s="61">
        <f t="shared" si="4"/>
        <v>0</v>
      </c>
      <c r="AU55" s="61">
        <f t="shared" si="4"/>
        <v>0</v>
      </c>
      <c r="AV55" s="61">
        <f t="shared" si="4"/>
        <v>0</v>
      </c>
      <c r="AW55" s="61">
        <f t="shared" si="4"/>
        <v>0</v>
      </c>
      <c r="AX55" s="61">
        <f t="shared" si="4"/>
        <v>0</v>
      </c>
      <c r="AY55" s="61">
        <f t="shared" si="4"/>
        <v>0</v>
      </c>
      <c r="AZ55" s="61">
        <f t="shared" si="4"/>
        <v>0</v>
      </c>
      <c r="BA55" s="61">
        <f t="shared" si="4"/>
        <v>0</v>
      </c>
      <c r="BB55" s="61">
        <f t="shared" si="4"/>
        <v>0</v>
      </c>
      <c r="BC55" s="61">
        <f t="shared" si="4"/>
        <v>0</v>
      </c>
    </row>
    <row r="56" spans="2:55" ht="19.5" customHeight="1" hidden="1">
      <c r="B56" s="6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</row>
    <row r="57" spans="2:55" ht="19.5" customHeight="1" hidden="1">
      <c r="B57" s="60" t="s">
        <v>38</v>
      </c>
      <c r="C57" s="70"/>
      <c r="D57" s="61">
        <f aca="true" t="shared" si="5" ref="D57:AI57">D52*(D15&lt;&gt;0)</f>
        <v>0</v>
      </c>
      <c r="E57" s="61">
        <f t="shared" si="5"/>
        <v>0</v>
      </c>
      <c r="F57" s="61">
        <f t="shared" si="5"/>
        <v>5.2</v>
      </c>
      <c r="G57" s="61">
        <f t="shared" si="5"/>
        <v>0</v>
      </c>
      <c r="H57" s="61">
        <f t="shared" si="5"/>
        <v>0</v>
      </c>
      <c r="I57" s="61">
        <f t="shared" si="5"/>
        <v>0</v>
      </c>
      <c r="J57" s="61">
        <f t="shared" si="5"/>
        <v>0</v>
      </c>
      <c r="K57" s="61">
        <f t="shared" si="5"/>
        <v>0</v>
      </c>
      <c r="L57" s="61">
        <f t="shared" si="5"/>
        <v>0</v>
      </c>
      <c r="M57" s="61">
        <f t="shared" si="5"/>
        <v>0</v>
      </c>
      <c r="N57" s="61">
        <f t="shared" si="5"/>
        <v>0</v>
      </c>
      <c r="O57" s="61">
        <f t="shared" si="5"/>
        <v>0</v>
      </c>
      <c r="P57" s="61">
        <f t="shared" si="5"/>
        <v>0</v>
      </c>
      <c r="Q57" s="61">
        <f t="shared" si="5"/>
        <v>0</v>
      </c>
      <c r="R57" s="61">
        <f t="shared" si="5"/>
        <v>0</v>
      </c>
      <c r="S57" s="61">
        <f t="shared" si="5"/>
        <v>0</v>
      </c>
      <c r="T57" s="61">
        <f t="shared" si="5"/>
        <v>0</v>
      </c>
      <c r="U57" s="61">
        <f t="shared" si="5"/>
        <v>0</v>
      </c>
      <c r="V57" s="61">
        <f t="shared" si="5"/>
        <v>0</v>
      </c>
      <c r="W57" s="61">
        <f t="shared" si="5"/>
        <v>0</v>
      </c>
      <c r="X57" s="61">
        <f t="shared" si="5"/>
        <v>0</v>
      </c>
      <c r="Y57" s="61">
        <f t="shared" si="5"/>
        <v>0</v>
      </c>
      <c r="Z57" s="61">
        <f t="shared" si="5"/>
        <v>0</v>
      </c>
      <c r="AA57" s="61">
        <f t="shared" si="5"/>
        <v>0</v>
      </c>
      <c r="AB57" s="61">
        <f t="shared" si="5"/>
        <v>0</v>
      </c>
      <c r="AC57" s="61">
        <f t="shared" si="5"/>
        <v>0</v>
      </c>
      <c r="AD57" s="61">
        <f t="shared" si="5"/>
        <v>0</v>
      </c>
      <c r="AE57" s="61">
        <f t="shared" si="5"/>
        <v>0</v>
      </c>
      <c r="AF57" s="61">
        <f t="shared" si="5"/>
        <v>0</v>
      </c>
      <c r="AG57" s="61">
        <f t="shared" si="5"/>
        <v>0</v>
      </c>
      <c r="AH57" s="61">
        <f t="shared" si="5"/>
        <v>0</v>
      </c>
      <c r="AI57" s="61">
        <f t="shared" si="5"/>
        <v>0</v>
      </c>
      <c r="AJ57" s="61">
        <f aca="true" t="shared" si="6" ref="AJ57:BC57">AJ52*(AJ15&lt;&gt;0)</f>
        <v>0</v>
      </c>
      <c r="AK57" s="61">
        <f t="shared" si="6"/>
        <v>0</v>
      </c>
      <c r="AL57" s="61">
        <f t="shared" si="6"/>
        <v>0</v>
      </c>
      <c r="AM57" s="61">
        <f t="shared" si="6"/>
        <v>0</v>
      </c>
      <c r="AN57" s="61">
        <f t="shared" si="6"/>
        <v>0</v>
      </c>
      <c r="AO57" s="61">
        <f t="shared" si="6"/>
        <v>0</v>
      </c>
      <c r="AP57" s="61">
        <f t="shared" si="6"/>
        <v>0</v>
      </c>
      <c r="AQ57" s="61">
        <f t="shared" si="6"/>
        <v>0</v>
      </c>
      <c r="AR57" s="61">
        <f t="shared" si="6"/>
        <v>0</v>
      </c>
      <c r="AS57" s="61">
        <f t="shared" si="6"/>
        <v>0</v>
      </c>
      <c r="AT57" s="61">
        <f t="shared" si="6"/>
        <v>0</v>
      </c>
      <c r="AU57" s="61">
        <f t="shared" si="6"/>
        <v>0</v>
      </c>
      <c r="AV57" s="61">
        <f t="shared" si="6"/>
        <v>0</v>
      </c>
      <c r="AW57" s="61">
        <f t="shared" si="6"/>
        <v>0</v>
      </c>
      <c r="AX57" s="61">
        <f t="shared" si="6"/>
        <v>0</v>
      </c>
      <c r="AY57" s="61">
        <f t="shared" si="6"/>
        <v>0</v>
      </c>
      <c r="AZ57" s="61">
        <f t="shared" si="6"/>
        <v>0</v>
      </c>
      <c r="BA57" s="61">
        <f t="shared" si="6"/>
        <v>0</v>
      </c>
      <c r="BB57" s="61">
        <f t="shared" si="6"/>
        <v>0</v>
      </c>
      <c r="BC57" s="61">
        <f t="shared" si="6"/>
        <v>0</v>
      </c>
    </row>
    <row r="58" spans="2:55" ht="19.5" customHeight="1" hidden="1">
      <c r="B58" s="60" t="s">
        <v>39</v>
      </c>
      <c r="C58" s="70"/>
      <c r="D58" s="70">
        <f aca="true" t="shared" si="7" ref="D58:AI58">D52*(D16&lt;&gt;0)</f>
        <v>0</v>
      </c>
      <c r="E58" s="70">
        <f t="shared" si="7"/>
        <v>0</v>
      </c>
      <c r="F58" s="70">
        <f t="shared" si="7"/>
        <v>0</v>
      </c>
      <c r="G58" s="70">
        <f t="shared" si="7"/>
        <v>0</v>
      </c>
      <c r="H58" s="70">
        <f t="shared" si="7"/>
        <v>0</v>
      </c>
      <c r="I58" s="70">
        <f t="shared" si="7"/>
        <v>0</v>
      </c>
      <c r="J58" s="70">
        <f t="shared" si="7"/>
        <v>0</v>
      </c>
      <c r="K58" s="70">
        <f t="shared" si="7"/>
        <v>0</v>
      </c>
      <c r="L58" s="70">
        <f t="shared" si="7"/>
        <v>0</v>
      </c>
      <c r="M58" s="70">
        <f t="shared" si="7"/>
        <v>0</v>
      </c>
      <c r="N58" s="70">
        <f t="shared" si="7"/>
        <v>0</v>
      </c>
      <c r="O58" s="70">
        <f t="shared" si="7"/>
        <v>0</v>
      </c>
      <c r="P58" s="70">
        <f t="shared" si="7"/>
        <v>0</v>
      </c>
      <c r="Q58" s="70">
        <f t="shared" si="7"/>
        <v>0</v>
      </c>
      <c r="R58" s="70">
        <f t="shared" si="7"/>
        <v>0</v>
      </c>
      <c r="S58" s="70">
        <f t="shared" si="7"/>
        <v>0</v>
      </c>
      <c r="T58" s="70">
        <f t="shared" si="7"/>
        <v>0</v>
      </c>
      <c r="U58" s="70">
        <f t="shared" si="7"/>
        <v>0</v>
      </c>
      <c r="V58" s="70">
        <f t="shared" si="7"/>
        <v>0</v>
      </c>
      <c r="W58" s="70">
        <f t="shared" si="7"/>
        <v>0</v>
      </c>
      <c r="X58" s="70">
        <f t="shared" si="7"/>
        <v>0</v>
      </c>
      <c r="Y58" s="70">
        <f t="shared" si="7"/>
        <v>0</v>
      </c>
      <c r="Z58" s="70">
        <f t="shared" si="7"/>
        <v>0</v>
      </c>
      <c r="AA58" s="70">
        <f t="shared" si="7"/>
        <v>0</v>
      </c>
      <c r="AB58" s="70">
        <f t="shared" si="7"/>
        <v>0</v>
      </c>
      <c r="AC58" s="70">
        <f t="shared" si="7"/>
        <v>0</v>
      </c>
      <c r="AD58" s="70">
        <f t="shared" si="7"/>
        <v>0</v>
      </c>
      <c r="AE58" s="70">
        <f t="shared" si="7"/>
        <v>0</v>
      </c>
      <c r="AF58" s="70">
        <f t="shared" si="7"/>
        <v>0</v>
      </c>
      <c r="AG58" s="70">
        <f t="shared" si="7"/>
        <v>0</v>
      </c>
      <c r="AH58" s="70">
        <f t="shared" si="7"/>
        <v>0</v>
      </c>
      <c r="AI58" s="70">
        <f t="shared" si="7"/>
        <v>0</v>
      </c>
      <c r="AJ58" s="70">
        <f aca="true" t="shared" si="8" ref="AJ58:BC58">AJ52*(AJ16&lt;&gt;0)</f>
        <v>0</v>
      </c>
      <c r="AK58" s="70">
        <f t="shared" si="8"/>
        <v>0</v>
      </c>
      <c r="AL58" s="70">
        <f t="shared" si="8"/>
        <v>0</v>
      </c>
      <c r="AM58" s="70">
        <f t="shared" si="8"/>
        <v>0</v>
      </c>
      <c r="AN58" s="70">
        <f t="shared" si="8"/>
        <v>0</v>
      </c>
      <c r="AO58" s="70">
        <f t="shared" si="8"/>
        <v>0</v>
      </c>
      <c r="AP58" s="70">
        <f t="shared" si="8"/>
        <v>0</v>
      </c>
      <c r="AQ58" s="70">
        <f t="shared" si="8"/>
        <v>0</v>
      </c>
      <c r="AR58" s="70">
        <f t="shared" si="8"/>
        <v>0</v>
      </c>
      <c r="AS58" s="70">
        <f t="shared" si="8"/>
        <v>0</v>
      </c>
      <c r="AT58" s="70">
        <f t="shared" si="8"/>
        <v>0</v>
      </c>
      <c r="AU58" s="70">
        <f t="shared" si="8"/>
        <v>0</v>
      </c>
      <c r="AV58" s="70">
        <f t="shared" si="8"/>
        <v>0</v>
      </c>
      <c r="AW58" s="70">
        <f t="shared" si="8"/>
        <v>0</v>
      </c>
      <c r="AX58" s="70">
        <f t="shared" si="8"/>
        <v>0</v>
      </c>
      <c r="AY58" s="70">
        <f t="shared" si="8"/>
        <v>0</v>
      </c>
      <c r="AZ58" s="70">
        <f t="shared" si="8"/>
        <v>0</v>
      </c>
      <c r="BA58" s="70">
        <f t="shared" si="8"/>
        <v>0</v>
      </c>
      <c r="BB58" s="70">
        <f t="shared" si="8"/>
        <v>4.14</v>
      </c>
      <c r="BC58" s="70">
        <f t="shared" si="8"/>
        <v>0</v>
      </c>
    </row>
    <row r="59" spans="2:55" ht="19.5" customHeight="1" hidden="1">
      <c r="B59" s="6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</row>
    <row r="60" spans="2:55" ht="19.5" customHeight="1" hidden="1">
      <c r="B60" s="60" t="s">
        <v>40</v>
      </c>
      <c r="C60" s="70"/>
      <c r="D60" s="70">
        <f>MAX(D54:BC54)</f>
        <v>40.4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</row>
    <row r="61" spans="2:55" ht="19.5" customHeight="1" hidden="1">
      <c r="B61" s="60" t="s">
        <v>41</v>
      </c>
      <c r="C61" s="70"/>
      <c r="D61" s="70">
        <f>MAX(D55:BC55)</f>
        <v>53.7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</row>
    <row r="62" spans="2:55" ht="19.5" customHeight="1" hidden="1">
      <c r="B62" s="60" t="s">
        <v>42</v>
      </c>
      <c r="C62" s="70"/>
      <c r="D62" s="71">
        <f>(D60^2+D61^2)^0.5</f>
        <v>67.20007440472072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</row>
    <row r="63" spans="2:55" ht="19.5" customHeight="1" hidden="1">
      <c r="B63" s="60" t="s">
        <v>43</v>
      </c>
      <c r="C63" s="70"/>
      <c r="D63" s="72">
        <f>(F74/D62*I18)</f>
        <v>96.57715937557455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</row>
    <row r="64" spans="2:55" ht="19.5" customHeight="1" hidden="1">
      <c r="B64" s="6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</row>
    <row r="65" spans="2:55" ht="19.5" customHeight="1" hidden="1">
      <c r="B65" s="68" t="s">
        <v>44</v>
      </c>
      <c r="C65" s="61"/>
      <c r="D65" s="61">
        <f>MAX(D57:BC57)/1000</f>
        <v>0.0052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2:55" ht="19.5" customHeight="1" hidden="1">
      <c r="B66" s="68" t="s">
        <v>45</v>
      </c>
      <c r="C66" s="61"/>
      <c r="D66" s="61">
        <f>MAX(D58:BC58)/1000</f>
        <v>0.00414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</row>
    <row r="67" spans="2:55" ht="19.5" customHeight="1" hidden="1">
      <c r="B67" s="60" t="s">
        <v>46</v>
      </c>
      <c r="C67" s="61"/>
      <c r="D67" s="61">
        <f aca="true" t="shared" si="9" ref="D67:AI67">D50*(D16&lt;&gt;0)</f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  <c r="H67" s="61">
        <f t="shared" si="9"/>
        <v>0</v>
      </c>
      <c r="I67" s="61">
        <f t="shared" si="9"/>
        <v>0</v>
      </c>
      <c r="J67" s="61">
        <f t="shared" si="9"/>
        <v>0</v>
      </c>
      <c r="K67" s="61">
        <f t="shared" si="9"/>
        <v>0</v>
      </c>
      <c r="L67" s="61">
        <f t="shared" si="9"/>
        <v>0</v>
      </c>
      <c r="M67" s="61">
        <f t="shared" si="9"/>
        <v>0</v>
      </c>
      <c r="N67" s="61">
        <f t="shared" si="9"/>
        <v>0</v>
      </c>
      <c r="O67" s="61">
        <f t="shared" si="9"/>
        <v>0</v>
      </c>
      <c r="P67" s="61">
        <f t="shared" si="9"/>
        <v>0</v>
      </c>
      <c r="Q67" s="61">
        <f t="shared" si="9"/>
        <v>0</v>
      </c>
      <c r="R67" s="61">
        <f t="shared" si="9"/>
        <v>0</v>
      </c>
      <c r="S67" s="61">
        <f t="shared" si="9"/>
        <v>0</v>
      </c>
      <c r="T67" s="61">
        <f t="shared" si="9"/>
        <v>0</v>
      </c>
      <c r="U67" s="61">
        <f t="shared" si="9"/>
        <v>0</v>
      </c>
      <c r="V67" s="61">
        <f t="shared" si="9"/>
        <v>0</v>
      </c>
      <c r="W67" s="61">
        <f t="shared" si="9"/>
        <v>0</v>
      </c>
      <c r="X67" s="61">
        <f t="shared" si="9"/>
        <v>0</v>
      </c>
      <c r="Y67" s="61">
        <f t="shared" si="9"/>
        <v>0</v>
      </c>
      <c r="Z67" s="61">
        <f t="shared" si="9"/>
        <v>0</v>
      </c>
      <c r="AA67" s="61">
        <f t="shared" si="9"/>
        <v>0</v>
      </c>
      <c r="AB67" s="61">
        <f t="shared" si="9"/>
        <v>0</v>
      </c>
      <c r="AC67" s="61">
        <f t="shared" si="9"/>
        <v>0</v>
      </c>
      <c r="AD67" s="61">
        <f t="shared" si="9"/>
        <v>0</v>
      </c>
      <c r="AE67" s="61">
        <f t="shared" si="9"/>
        <v>0</v>
      </c>
      <c r="AF67" s="61">
        <f t="shared" si="9"/>
        <v>0</v>
      </c>
      <c r="AG67" s="61">
        <f t="shared" si="9"/>
        <v>0</v>
      </c>
      <c r="AH67" s="61">
        <f t="shared" si="9"/>
        <v>0</v>
      </c>
      <c r="AI67" s="61">
        <f t="shared" si="9"/>
        <v>0</v>
      </c>
      <c r="AJ67" s="61">
        <f aca="true" t="shared" si="10" ref="AJ67:BC67">AJ50*(AJ16&lt;&gt;0)</f>
        <v>0</v>
      </c>
      <c r="AK67" s="61">
        <f t="shared" si="10"/>
        <v>0</v>
      </c>
      <c r="AL67" s="61">
        <f t="shared" si="10"/>
        <v>0</v>
      </c>
      <c r="AM67" s="61">
        <f t="shared" si="10"/>
        <v>0</v>
      </c>
      <c r="AN67" s="61">
        <f t="shared" si="10"/>
        <v>0</v>
      </c>
      <c r="AO67" s="61">
        <f t="shared" si="10"/>
        <v>0</v>
      </c>
      <c r="AP67" s="61">
        <f t="shared" si="10"/>
        <v>0</v>
      </c>
      <c r="AQ67" s="61">
        <f t="shared" si="10"/>
        <v>0</v>
      </c>
      <c r="AR67" s="61">
        <f t="shared" si="10"/>
        <v>0</v>
      </c>
      <c r="AS67" s="61">
        <f t="shared" si="10"/>
        <v>0</v>
      </c>
      <c r="AT67" s="61">
        <f t="shared" si="10"/>
        <v>0</v>
      </c>
      <c r="AU67" s="61">
        <f t="shared" si="10"/>
        <v>0</v>
      </c>
      <c r="AV67" s="61">
        <f t="shared" si="10"/>
        <v>0</v>
      </c>
      <c r="AW67" s="61">
        <f t="shared" si="10"/>
        <v>0</v>
      </c>
      <c r="AX67" s="61">
        <f t="shared" si="10"/>
        <v>0</v>
      </c>
      <c r="AY67" s="61">
        <f t="shared" si="10"/>
        <v>0</v>
      </c>
      <c r="AZ67" s="61">
        <f t="shared" si="10"/>
        <v>0</v>
      </c>
      <c r="BA67" s="61">
        <f t="shared" si="10"/>
        <v>0</v>
      </c>
      <c r="BB67" s="61">
        <f t="shared" si="10"/>
        <v>24</v>
      </c>
      <c r="BC67" s="61">
        <f t="shared" si="10"/>
        <v>0</v>
      </c>
    </row>
    <row r="68" spans="2:55" ht="19.5" customHeight="1" hidden="1">
      <c r="B68" s="60" t="s">
        <v>47</v>
      </c>
      <c r="C68" s="61"/>
      <c r="D68" s="61">
        <f aca="true" t="shared" si="11" ref="D68:AI68">D51*(D16&lt;&gt;0)</f>
        <v>0</v>
      </c>
      <c r="E68" s="61">
        <f t="shared" si="11"/>
        <v>0</v>
      </c>
      <c r="F68" s="61">
        <f t="shared" si="11"/>
        <v>0</v>
      </c>
      <c r="G68" s="61">
        <f t="shared" si="11"/>
        <v>0</v>
      </c>
      <c r="H68" s="61">
        <f t="shared" si="11"/>
        <v>0</v>
      </c>
      <c r="I68" s="61">
        <f t="shared" si="11"/>
        <v>0</v>
      </c>
      <c r="J68" s="61">
        <f t="shared" si="11"/>
        <v>0</v>
      </c>
      <c r="K68" s="61">
        <f t="shared" si="11"/>
        <v>0</v>
      </c>
      <c r="L68" s="61">
        <f t="shared" si="11"/>
        <v>0</v>
      </c>
      <c r="M68" s="61">
        <f t="shared" si="11"/>
        <v>0</v>
      </c>
      <c r="N68" s="61">
        <f t="shared" si="11"/>
        <v>0</v>
      </c>
      <c r="O68" s="61">
        <f t="shared" si="11"/>
        <v>0</v>
      </c>
      <c r="P68" s="61">
        <f t="shared" si="11"/>
        <v>0</v>
      </c>
      <c r="Q68" s="61">
        <f t="shared" si="11"/>
        <v>0</v>
      </c>
      <c r="R68" s="61">
        <f t="shared" si="11"/>
        <v>0</v>
      </c>
      <c r="S68" s="61">
        <f t="shared" si="11"/>
        <v>0</v>
      </c>
      <c r="T68" s="61">
        <f t="shared" si="11"/>
        <v>0</v>
      </c>
      <c r="U68" s="61">
        <f t="shared" si="11"/>
        <v>0</v>
      </c>
      <c r="V68" s="61">
        <f t="shared" si="11"/>
        <v>0</v>
      </c>
      <c r="W68" s="61">
        <f t="shared" si="11"/>
        <v>0</v>
      </c>
      <c r="X68" s="61">
        <f t="shared" si="11"/>
        <v>0</v>
      </c>
      <c r="Y68" s="61">
        <f t="shared" si="11"/>
        <v>0</v>
      </c>
      <c r="Z68" s="61">
        <f t="shared" si="11"/>
        <v>0</v>
      </c>
      <c r="AA68" s="61">
        <f t="shared" si="11"/>
        <v>0</v>
      </c>
      <c r="AB68" s="61">
        <f t="shared" si="11"/>
        <v>0</v>
      </c>
      <c r="AC68" s="61">
        <f t="shared" si="11"/>
        <v>0</v>
      </c>
      <c r="AD68" s="61">
        <f t="shared" si="11"/>
        <v>0</v>
      </c>
      <c r="AE68" s="61">
        <f t="shared" si="11"/>
        <v>0</v>
      </c>
      <c r="AF68" s="61">
        <f t="shared" si="11"/>
        <v>0</v>
      </c>
      <c r="AG68" s="61">
        <f t="shared" si="11"/>
        <v>0</v>
      </c>
      <c r="AH68" s="61">
        <f t="shared" si="11"/>
        <v>0</v>
      </c>
      <c r="AI68" s="61">
        <f t="shared" si="11"/>
        <v>0</v>
      </c>
      <c r="AJ68" s="61">
        <f aca="true" t="shared" si="12" ref="AJ68:BC68">AJ51*(AJ16&lt;&gt;0)</f>
        <v>0</v>
      </c>
      <c r="AK68" s="61">
        <f t="shared" si="12"/>
        <v>0</v>
      </c>
      <c r="AL68" s="61">
        <f t="shared" si="12"/>
        <v>0</v>
      </c>
      <c r="AM68" s="61">
        <f t="shared" si="12"/>
        <v>0</v>
      </c>
      <c r="AN68" s="61">
        <f t="shared" si="12"/>
        <v>0</v>
      </c>
      <c r="AO68" s="61">
        <f t="shared" si="12"/>
        <v>0</v>
      </c>
      <c r="AP68" s="61">
        <f t="shared" si="12"/>
        <v>0</v>
      </c>
      <c r="AQ68" s="61">
        <f t="shared" si="12"/>
        <v>0</v>
      </c>
      <c r="AR68" s="61">
        <f t="shared" si="12"/>
        <v>0</v>
      </c>
      <c r="AS68" s="61">
        <f t="shared" si="12"/>
        <v>0</v>
      </c>
      <c r="AT68" s="61">
        <f t="shared" si="12"/>
        <v>0</v>
      </c>
      <c r="AU68" s="61">
        <f t="shared" si="12"/>
        <v>0</v>
      </c>
      <c r="AV68" s="61">
        <f t="shared" si="12"/>
        <v>0</v>
      </c>
      <c r="AW68" s="61">
        <f t="shared" si="12"/>
        <v>0</v>
      </c>
      <c r="AX68" s="61">
        <f t="shared" si="12"/>
        <v>0</v>
      </c>
      <c r="AY68" s="61">
        <f t="shared" si="12"/>
        <v>0</v>
      </c>
      <c r="AZ68" s="61">
        <f t="shared" si="12"/>
        <v>0</v>
      </c>
      <c r="BA68" s="61">
        <f t="shared" si="12"/>
        <v>0</v>
      </c>
      <c r="BB68" s="61">
        <f t="shared" si="12"/>
        <v>36</v>
      </c>
      <c r="BC68" s="61">
        <f t="shared" si="12"/>
        <v>0</v>
      </c>
    </row>
    <row r="69" spans="2:50" ht="19.5" customHeight="1" hidden="1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</row>
    <row r="70" spans="2:44" ht="19.5" customHeight="1" hidden="1">
      <c r="B70" s="75" t="s">
        <v>48</v>
      </c>
      <c r="C70" s="76"/>
      <c r="D70" s="76"/>
      <c r="E70" s="74"/>
      <c r="F70" s="73"/>
      <c r="G70" s="73"/>
      <c r="H70" s="73"/>
      <c r="I70" s="73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I70" s="74"/>
      <c r="AJ70" s="74"/>
      <c r="AL70" s="74"/>
      <c r="AM70" s="74"/>
      <c r="AN70" s="74"/>
      <c r="AO70" s="74"/>
      <c r="AP70" s="74"/>
      <c r="AQ70" s="74"/>
      <c r="AR70" s="74"/>
    </row>
    <row r="71" spans="2:39" ht="19.5" customHeight="1" hidden="1">
      <c r="B71" s="73" t="s">
        <v>49</v>
      </c>
      <c r="C71" s="76"/>
      <c r="D71" s="76"/>
      <c r="E71" s="74"/>
      <c r="F71" s="73" t="s">
        <v>50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M71" s="74"/>
    </row>
    <row r="72" spans="2:39" ht="19.5" customHeight="1" hidden="1">
      <c r="B72" s="77" t="s">
        <v>51</v>
      </c>
      <c r="C72" s="74"/>
      <c r="D72" s="78">
        <f>(MAX(D55:BC55)*MAX(D47))-(MAX(D47)-1)*$D$38</f>
        <v>53.7</v>
      </c>
      <c r="E72" s="79"/>
      <c r="F72" s="79">
        <f>(MAX(D67:BC67))</f>
        <v>24</v>
      </c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M72" s="74"/>
    </row>
    <row r="73" spans="2:39" ht="19.5" customHeight="1" hidden="1">
      <c r="B73" s="77" t="s">
        <v>52</v>
      </c>
      <c r="C73" s="74"/>
      <c r="D73" s="78">
        <f>(MAX(D54:BC54)*MAX(D48))-(MAX(D48)-1)*$D$38</f>
        <v>40.4</v>
      </c>
      <c r="E73" s="79"/>
      <c r="F73" s="79">
        <f>(MAX(D68:BC68))</f>
        <v>36</v>
      </c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M73" s="74"/>
    </row>
    <row r="74" spans="2:39" ht="19.5" customHeight="1" hidden="1">
      <c r="B74" s="73" t="s">
        <v>53</v>
      </c>
      <c r="C74" s="74"/>
      <c r="D74" s="78">
        <f>(D72^2+D73^2)^0.5</f>
        <v>67.20007440472072</v>
      </c>
      <c r="E74" s="79"/>
      <c r="F74" s="79">
        <f>(F72^2+F73^2)^0.5</f>
        <v>43.266615305567875</v>
      </c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M74" s="74"/>
    </row>
    <row r="75" spans="2:39" ht="19.5" customHeight="1" hidden="1">
      <c r="B75" s="73" t="s">
        <v>54</v>
      </c>
      <c r="C75" s="74"/>
      <c r="D75" s="78">
        <f>(D72/25.4)*(D73/25.4)</f>
        <v>3.362700725401451</v>
      </c>
      <c r="E75" s="79"/>
      <c r="F75" s="79">
        <f>(F72/25.4)*(F73/25.4)</f>
        <v>1.339202678405357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M75" s="74"/>
    </row>
    <row r="76" spans="2:39" ht="19.5" customHeight="1" hidden="1">
      <c r="B76" s="77" t="s">
        <v>55</v>
      </c>
      <c r="C76" s="74"/>
      <c r="D76" s="78">
        <f>D74</f>
        <v>67.20007440472072</v>
      </c>
      <c r="E76" s="79"/>
      <c r="F76" s="79">
        <f>F74</f>
        <v>43.266615305567875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M76" s="74"/>
    </row>
    <row r="77" spans="2:39" ht="19.5" customHeight="1" hidden="1">
      <c r="B77" s="77" t="s">
        <v>56</v>
      </c>
      <c r="C77" s="74"/>
      <c r="D77" s="78">
        <f>I18/D76</f>
        <v>2.2321403856877677</v>
      </c>
      <c r="E77" s="79"/>
      <c r="F77" s="79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M77" s="74"/>
    </row>
    <row r="78" spans="2:39" ht="19.5" customHeight="1" hidden="1">
      <c r="B78" s="73" t="s">
        <v>57</v>
      </c>
      <c r="C78" s="74"/>
      <c r="D78" s="79"/>
      <c r="E78" s="79"/>
      <c r="F78" s="80">
        <f>D77*F76</f>
        <v>96.57715937557455</v>
      </c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M78" s="74"/>
    </row>
    <row r="79" spans="2:39" ht="19.5" customHeight="1" hidden="1">
      <c r="B79" s="73" t="s">
        <v>58</v>
      </c>
      <c r="C79" s="74"/>
      <c r="D79" s="81">
        <f>(D72/D65)*(D73/D65)/1000000</f>
        <v>80.23224852071007</v>
      </c>
      <c r="E79" s="80"/>
      <c r="F79" s="81">
        <f>(F72/D66)*(F73/D66)/1000000</f>
        <v>50.40957781978577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M79" s="74"/>
    </row>
    <row r="80" spans="2:39" ht="19.5" customHeight="1" hidden="1">
      <c r="B80" s="82" t="s">
        <v>59</v>
      </c>
      <c r="C80" s="83"/>
      <c r="D80" s="84">
        <f>D79*6</f>
        <v>481.39349112426044</v>
      </c>
      <c r="E80" s="85"/>
      <c r="F80" s="84">
        <f>F79*6</f>
        <v>302.4574669187146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M80" s="83"/>
    </row>
    <row r="81" ht="19.5" customHeight="1" hidden="1"/>
    <row r="82" spans="2:8" ht="42" customHeight="1" hidden="1">
      <c r="B82" s="1" t="s">
        <v>99</v>
      </c>
      <c r="D82" s="1">
        <v>1</v>
      </c>
      <c r="E82" s="1">
        <v>2</v>
      </c>
      <c r="F82" s="1">
        <v>3</v>
      </c>
      <c r="G82" s="1">
        <v>4</v>
      </c>
      <c r="H82" s="1">
        <v>9</v>
      </c>
    </row>
  </sheetData>
  <sheetProtection selectLockedCells="1"/>
  <mergeCells count="24">
    <mergeCell ref="N29:O29"/>
    <mergeCell ref="E28:F28"/>
    <mergeCell ref="E29:F29"/>
    <mergeCell ref="E30:F30"/>
    <mergeCell ref="K30:L30"/>
    <mergeCell ref="H28:I28"/>
    <mergeCell ref="D32:G32"/>
    <mergeCell ref="Q9:R9"/>
    <mergeCell ref="C9:D9"/>
    <mergeCell ref="K29:L29"/>
    <mergeCell ref="N30:O30"/>
    <mergeCell ref="I23:J23"/>
    <mergeCell ref="Q28:R28"/>
    <mergeCell ref="Q29:R29"/>
    <mergeCell ref="Q30:R30"/>
    <mergeCell ref="N28:O28"/>
    <mergeCell ref="I22:J22"/>
    <mergeCell ref="I18:J18"/>
    <mergeCell ref="B28:C28"/>
    <mergeCell ref="K28:L28"/>
    <mergeCell ref="H29:I29"/>
    <mergeCell ref="H30:I30"/>
    <mergeCell ref="B29:C29"/>
    <mergeCell ref="B30:C30"/>
  </mergeCells>
  <conditionalFormatting sqref="L10 AQ9:AS10 I10 E10 Q10:R10 O9:O10">
    <cfRule type="cellIs" priority="37" dxfId="32" operator="notEqual" stopIfTrue="1">
      <formula>0</formula>
    </cfRule>
  </conditionalFormatting>
  <conditionalFormatting sqref="AB10">
    <cfRule type="cellIs" priority="25" dxfId="32" operator="notEqual" stopIfTrue="1">
      <formula>0</formula>
    </cfRule>
  </conditionalFormatting>
  <conditionalFormatting sqref="H10">
    <cfRule type="cellIs" priority="24" dxfId="32" operator="notEqual" stopIfTrue="1">
      <formula>0</formula>
    </cfRule>
  </conditionalFormatting>
  <conditionalFormatting sqref="G10">
    <cfRule type="cellIs" priority="23" dxfId="32" operator="notEqual" stopIfTrue="1">
      <formula>0</formula>
    </cfRule>
  </conditionalFormatting>
  <conditionalFormatting sqref="J10">
    <cfRule type="cellIs" priority="36" dxfId="32" operator="notEqual" stopIfTrue="1">
      <formula>0</formula>
    </cfRule>
  </conditionalFormatting>
  <conditionalFormatting sqref="F9:F10">
    <cfRule type="cellIs" priority="22" dxfId="32" operator="notEqual" stopIfTrue="1">
      <formula>0</formula>
    </cfRule>
  </conditionalFormatting>
  <conditionalFormatting sqref="K10">
    <cfRule type="cellIs" priority="35" dxfId="32" operator="notEqual" stopIfTrue="1">
      <formula>0</formula>
    </cfRule>
  </conditionalFormatting>
  <conditionalFormatting sqref="M10">
    <cfRule type="cellIs" priority="34" dxfId="32" operator="notEqual" stopIfTrue="1">
      <formula>0</formula>
    </cfRule>
  </conditionalFormatting>
  <conditionalFormatting sqref="N10">
    <cfRule type="cellIs" priority="33" dxfId="32" operator="notEqual" stopIfTrue="1">
      <formula>0</formula>
    </cfRule>
  </conditionalFormatting>
  <conditionalFormatting sqref="P10">
    <cfRule type="cellIs" priority="32" dxfId="32" operator="notEqual" stopIfTrue="1">
      <formula>0</formula>
    </cfRule>
  </conditionalFormatting>
  <conditionalFormatting sqref="Y9:Y10">
    <cfRule type="cellIs" priority="28" dxfId="32" operator="notEqual" stopIfTrue="1">
      <formula>0</formula>
    </cfRule>
  </conditionalFormatting>
  <conditionalFormatting sqref="W9:W10">
    <cfRule type="cellIs" priority="30" dxfId="32" operator="notEqual" stopIfTrue="1">
      <formula>0</formula>
    </cfRule>
  </conditionalFormatting>
  <conditionalFormatting sqref="X9:X10">
    <cfRule type="cellIs" priority="29" dxfId="32" operator="notEqual" stopIfTrue="1">
      <formula>0</formula>
    </cfRule>
  </conditionalFormatting>
  <conditionalFormatting sqref="Z10">
    <cfRule type="cellIs" priority="27" dxfId="32" operator="notEqual" stopIfTrue="1">
      <formula>0</formula>
    </cfRule>
  </conditionalFormatting>
  <conditionalFormatting sqref="AA10">
    <cfRule type="cellIs" priority="26" dxfId="32" operator="notEqual" stopIfTrue="1">
      <formula>0</formula>
    </cfRule>
  </conditionalFormatting>
  <conditionalFormatting sqref="V10">
    <cfRule type="cellIs" priority="18" dxfId="32" operator="notEqual" stopIfTrue="1">
      <formula>0</formula>
    </cfRule>
  </conditionalFormatting>
  <conditionalFormatting sqref="S10">
    <cfRule type="cellIs" priority="17" dxfId="32" operator="notEqual" stopIfTrue="1">
      <formula>0</formula>
    </cfRule>
  </conditionalFormatting>
  <conditionalFormatting sqref="T10">
    <cfRule type="cellIs" priority="16" dxfId="32" operator="notEqual" stopIfTrue="1">
      <formula>0</formula>
    </cfRule>
  </conditionalFormatting>
  <conditionalFormatting sqref="AO9:AO10">
    <cfRule type="cellIs" priority="15" dxfId="32" operator="notEqual" stopIfTrue="1">
      <formula>0</formula>
    </cfRule>
  </conditionalFormatting>
  <conditionalFormatting sqref="AN9:AN10">
    <cfRule type="cellIs" priority="14" dxfId="32" operator="notEqual" stopIfTrue="1">
      <formula>0</formula>
    </cfRule>
  </conditionalFormatting>
  <conditionalFormatting sqref="AP9:AP10">
    <cfRule type="cellIs" priority="13" dxfId="32" operator="notEqual" stopIfTrue="1">
      <formula>0</formula>
    </cfRule>
  </conditionalFormatting>
  <conditionalFormatting sqref="AM9:AM10">
    <cfRule type="cellIs" priority="12" dxfId="32" operator="notEqual" stopIfTrue="1">
      <formula>0</formula>
    </cfRule>
  </conditionalFormatting>
  <conditionalFormatting sqref="AF9:AF10">
    <cfRule type="cellIs" priority="11" dxfId="32" operator="notEqual" stopIfTrue="1">
      <formula>0</formula>
    </cfRule>
  </conditionalFormatting>
  <conditionalFormatting sqref="AE9:AE10">
    <cfRule type="cellIs" priority="10" dxfId="32" operator="notEqual" stopIfTrue="1">
      <formula>0</formula>
    </cfRule>
  </conditionalFormatting>
  <conditionalFormatting sqref="AD9:AD10">
    <cfRule type="cellIs" priority="9" dxfId="32" operator="notEqual" stopIfTrue="1">
      <formula>0</formula>
    </cfRule>
  </conditionalFormatting>
  <conditionalFormatting sqref="AC10">
    <cfRule type="cellIs" priority="8" dxfId="32" operator="notEqual" stopIfTrue="1">
      <formula>0</formula>
    </cfRule>
  </conditionalFormatting>
  <conditionalFormatting sqref="AL9:AL10">
    <cfRule type="cellIs" priority="7" dxfId="32" operator="notEqual" stopIfTrue="1">
      <formula>0</formula>
    </cfRule>
  </conditionalFormatting>
  <conditionalFormatting sqref="AI9:AI10">
    <cfRule type="cellIs" priority="6" dxfId="32" operator="notEqual" stopIfTrue="1">
      <formula>0</formula>
    </cfRule>
  </conditionalFormatting>
  <conditionalFormatting sqref="D10">
    <cfRule type="cellIs" priority="5" dxfId="32" operator="notEqual" stopIfTrue="1">
      <formula>0</formula>
    </cfRule>
  </conditionalFormatting>
  <conditionalFormatting sqref="AR9:AR10">
    <cfRule type="cellIs" priority="3" dxfId="32" operator="notEqual" stopIfTrue="1">
      <formula>0</formula>
    </cfRule>
  </conditionalFormatting>
  <conditionalFormatting sqref="AS9:AS10">
    <cfRule type="cellIs" priority="2" dxfId="32" operator="notEqual" stopIfTrue="1">
      <formula>0</formula>
    </cfRule>
  </conditionalFormatting>
  <conditionalFormatting sqref="U10">
    <cfRule type="cellIs" priority="1" dxfId="32" operator="notEqual" stopIfTrue="1">
      <formula>0</formula>
    </cfRule>
  </conditionalFormatting>
  <dataValidations count="3">
    <dataValidation type="list" allowBlank="1" showInputMessage="1" showErrorMessage="1" sqref="I22">
      <formula1>Calulator!$D$82:$H$82</formula1>
    </dataValidation>
    <dataValidation type="list" allowBlank="1" showInputMessage="1" showErrorMessage="1" sqref="Q9:R9">
      <formula1>Calulator!$D$44:$BC$44</formula1>
    </dataValidation>
    <dataValidation type="list" allowBlank="1" showInputMessage="1" showErrorMessage="1" sqref="C9:D9">
      <formula1>Calulator!$D$44:$BC$44</formula1>
    </dataValidation>
  </dataValidations>
  <printOptions/>
  <pageMargins left="0.75" right="0.75" top="0.75" bottom="0.5" header="0.25" footer="0.25"/>
  <pageSetup firstPageNumber="1" useFirstPageNumber="1" fitToHeight="1" fitToWidth="1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Valites</cp:lastModifiedBy>
  <cp:lastPrinted>2011-11-23T17:15:16Z</cp:lastPrinted>
  <dcterms:created xsi:type="dcterms:W3CDTF">2011-09-21T23:59:12Z</dcterms:created>
  <dcterms:modified xsi:type="dcterms:W3CDTF">2015-07-10T14:49:43Z</dcterms:modified>
  <cp:category/>
  <cp:version/>
  <cp:contentType/>
  <cp:contentStatus/>
</cp:coreProperties>
</file>